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webed.ped.state.nm.us/sites/FileTransfer/SB_F_T_P_T/Shared Documents/FY22 910B-5 Tool Test/Final Test/"/>
    </mc:Choice>
  </mc:AlternateContent>
  <workbookProtection workbookAlgorithmName="SHA-512" workbookHashValue="7mB/9Ic11cX9FMlfyUxv8pFi2WvGHkMmsUjdDf4g/PssGZUOaF+jB4kelz3POc6NSCH+r7Y50lHjtp7Iea+u4Q==" workbookSaltValue="9yrTDvFv1e/acytBDnJiGw==" workbookSpinCount="100000" lockStructure="1"/>
  <bookViews>
    <workbookView xWindow="0" yWindow="0" windowWidth="23040" windowHeight="8040"/>
  </bookViews>
  <sheets>
    <sheet name="80-120" sheetId="3" r:id="rId1"/>
    <sheet name="AVG" sheetId="4" r:id="rId2"/>
    <sheet name="Estimated SEG FY22" sheetId="5" r:id="rId3"/>
    <sheet name="PED_ONLY" sheetId="2" state="hidden" r:id="rId4"/>
    <sheet name="PED_DATA_ONLY" sheetId="1" state="hidden" r:id="rId5"/>
  </sheets>
  <definedNames>
    <definedName name="_xlnm._FilterDatabase" localSheetId="4" hidden="1">PED_DATA_ONLY!$A$2:$BD$206</definedName>
    <definedName name="_xlnm.Print_Area" localSheetId="3">PED_ONLY!$A$1:$I$257</definedName>
    <definedName name="_xlnm.Print_Titles" localSheetId="2">'Estimated SEG FY22'!$1:$4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7" i="5" l="1"/>
  <c r="E176" i="5" l="1"/>
  <c r="K169" i="1" l="1"/>
  <c r="D76" i="5"/>
  <c r="J76" i="5" s="1"/>
  <c r="C93" i="5"/>
  <c r="G5" i="3"/>
  <c r="J3" i="5"/>
  <c r="D72" i="5" s="1"/>
  <c r="J72" i="5" s="1"/>
  <c r="G17" i="4"/>
  <c r="H17" i="4" s="1"/>
  <c r="H23" i="5" s="1"/>
  <c r="J23" i="5" s="1"/>
  <c r="G18" i="4"/>
  <c r="H18" i="4" s="1"/>
  <c r="H24" i="5" s="1"/>
  <c r="J24" i="5" s="1"/>
  <c r="G19" i="4"/>
  <c r="H19" i="4" s="1"/>
  <c r="H25" i="5" s="1"/>
  <c r="J25" i="5" s="1"/>
  <c r="H57" i="4"/>
  <c r="I57" i="4" s="1"/>
  <c r="I77" i="4" s="1"/>
  <c r="J79" i="5" s="1"/>
  <c r="J81" i="5" s="1"/>
  <c r="A39" i="4"/>
  <c r="B59" i="5"/>
  <c r="H60" i="5" s="1"/>
  <c r="J60" i="5" s="1"/>
  <c r="C32" i="4"/>
  <c r="B52" i="5" s="1"/>
  <c r="J52" i="5" s="1"/>
  <c r="J53" i="5" s="1"/>
  <c r="C35" i="4"/>
  <c r="B54" i="5"/>
  <c r="J54" i="5" s="1"/>
  <c r="G36" i="4"/>
  <c r="H36" i="4" s="1"/>
  <c r="H37" i="4" s="1"/>
  <c r="C67" i="5" s="1"/>
  <c r="H67" i="5" s="1"/>
  <c r="J67" i="5" s="1"/>
  <c r="H142" i="5"/>
  <c r="J142" i="5" s="1"/>
  <c r="B146" i="5"/>
  <c r="H147" i="5"/>
  <c r="J147" i="5"/>
  <c r="B141" i="5"/>
  <c r="H15" i="5"/>
  <c r="H16" i="5"/>
  <c r="H31" i="5"/>
  <c r="J31" i="5"/>
  <c r="J37" i="5"/>
  <c r="H18" i="5"/>
  <c r="J18" i="5"/>
  <c r="H19" i="5"/>
  <c r="J19" i="5"/>
  <c r="H20" i="5"/>
  <c r="J20" i="5"/>
  <c r="H21" i="5"/>
  <c r="J21" i="5"/>
  <c r="H22" i="5"/>
  <c r="J22" i="5"/>
  <c r="H26" i="5"/>
  <c r="J26" i="5"/>
  <c r="H27" i="5"/>
  <c r="J27" i="5"/>
  <c r="H28" i="5"/>
  <c r="J28" i="5"/>
  <c r="H29" i="5"/>
  <c r="J29" i="5"/>
  <c r="B49" i="5"/>
  <c r="J49" i="5"/>
  <c r="B50" i="5"/>
  <c r="J50" i="5"/>
  <c r="B51" i="5"/>
  <c r="J51" i="5"/>
  <c r="J80" i="5"/>
  <c r="H34" i="5"/>
  <c r="B114" i="5"/>
  <c r="J114" i="5"/>
  <c r="B118" i="5"/>
  <c r="J118" i="5"/>
  <c r="B9" i="4"/>
  <c r="H9" i="4"/>
  <c r="E10" i="4"/>
  <c r="G10" i="4"/>
  <c r="H10" i="4"/>
  <c r="G12" i="4"/>
  <c r="H12" i="4"/>
  <c r="G13" i="4"/>
  <c r="E13" i="4"/>
  <c r="H13" i="4"/>
  <c r="G14" i="4"/>
  <c r="H14" i="4"/>
  <c r="G15" i="4"/>
  <c r="H15" i="4"/>
  <c r="G16" i="4"/>
  <c r="D16" i="4"/>
  <c r="E16" i="4"/>
  <c r="H16" i="4"/>
  <c r="E24" i="4"/>
  <c r="D24" i="4"/>
  <c r="C31" i="4"/>
  <c r="H35" i="4"/>
  <c r="H34" i="4"/>
  <c r="K204"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8" i="1"/>
  <c r="K167" i="1"/>
  <c r="K166" i="1"/>
  <c r="K165" i="1"/>
  <c r="K164" i="1"/>
  <c r="K163" i="1"/>
  <c r="K162" i="1"/>
  <c r="K161" i="1"/>
  <c r="K160" i="1"/>
  <c r="K159" i="1"/>
  <c r="K158" i="1"/>
  <c r="K157" i="1"/>
  <c r="K156" i="1"/>
  <c r="K155" i="1"/>
  <c r="K154" i="1"/>
  <c r="K153" i="1"/>
  <c r="K152" i="1"/>
  <c r="K151" i="1"/>
  <c r="K150" i="1"/>
  <c r="K148" i="1"/>
  <c r="K146" i="1"/>
  <c r="K145" i="1"/>
  <c r="K144" i="1"/>
  <c r="K143" i="1"/>
  <c r="K142" i="1"/>
  <c r="K141" i="1"/>
  <c r="K140" i="1"/>
  <c r="K139" i="1"/>
  <c r="K138" i="1"/>
  <c r="K136" i="1"/>
  <c r="K135" i="1"/>
  <c r="K134" i="1"/>
  <c r="K133" i="1"/>
  <c r="K132" i="1"/>
  <c r="K130" i="1"/>
  <c r="K129" i="1"/>
  <c r="K128" i="1"/>
  <c r="K127" i="1"/>
  <c r="K125" i="1"/>
  <c r="K124" i="1"/>
  <c r="K123" i="1"/>
  <c r="K122" i="1"/>
  <c r="K121"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0" i="1"/>
  <c r="K89" i="1"/>
  <c r="K88" i="1"/>
  <c r="K87" i="1"/>
  <c r="K86" i="1"/>
  <c r="K85" i="1"/>
  <c r="K84" i="1"/>
  <c r="K83" i="1"/>
  <c r="K82" i="1"/>
  <c r="K81" i="1"/>
  <c r="K80" i="1"/>
  <c r="K79" i="1"/>
  <c r="K78" i="1"/>
  <c r="K77" i="1"/>
  <c r="K76" i="1"/>
  <c r="K75" i="1"/>
  <c r="K74" i="1"/>
  <c r="K73" i="1"/>
  <c r="K72" i="1"/>
  <c r="K71" i="1"/>
  <c r="K70" i="1"/>
  <c r="K69" i="1"/>
  <c r="K68" i="1"/>
  <c r="K67" i="1"/>
  <c r="K65" i="1"/>
  <c r="K64" i="1"/>
  <c r="K63" i="1"/>
  <c r="K62" i="1"/>
  <c r="K61" i="1"/>
  <c r="K60" i="1"/>
  <c r="K59" i="1"/>
  <c r="K58" i="1"/>
  <c r="K56" i="1"/>
  <c r="K55" i="1"/>
  <c r="K54" i="1"/>
  <c r="K52" i="1"/>
  <c r="K51" i="1"/>
  <c r="K50" i="1"/>
  <c r="K48" i="1"/>
  <c r="K47" i="1"/>
  <c r="K46" i="1"/>
  <c r="K45" i="1"/>
  <c r="K44" i="1"/>
  <c r="K43" i="1"/>
  <c r="K42" i="1"/>
  <c r="K40" i="1"/>
  <c r="K39" i="1"/>
  <c r="K38" i="1"/>
  <c r="K37"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K3" i="1"/>
  <c r="H89" i="4"/>
  <c r="F89" i="4"/>
  <c r="E89" i="4"/>
  <c r="B89" i="4"/>
  <c r="H88" i="4"/>
  <c r="F88" i="4"/>
  <c r="E88" i="4"/>
  <c r="B88" i="4"/>
  <c r="H87" i="4"/>
  <c r="F87" i="4"/>
  <c r="E87" i="4"/>
  <c r="B87" i="4"/>
  <c r="H86" i="4"/>
  <c r="F86" i="4"/>
  <c r="E86" i="4"/>
  <c r="B86" i="4"/>
  <c r="H85" i="4"/>
  <c r="F85" i="4"/>
  <c r="E85" i="4"/>
  <c r="B85" i="4"/>
  <c r="H84" i="4"/>
  <c r="F84" i="4"/>
  <c r="E84" i="4"/>
  <c r="B84" i="4"/>
  <c r="H83" i="4"/>
  <c r="F83" i="4"/>
  <c r="E83" i="4"/>
  <c r="B83" i="4"/>
  <c r="H82" i="4"/>
  <c r="F82" i="4"/>
  <c r="E82" i="4"/>
  <c r="B82" i="4"/>
  <c r="H81" i="4"/>
  <c r="F81" i="4"/>
  <c r="E81" i="4"/>
  <c r="B81" i="4"/>
  <c r="H80" i="4"/>
  <c r="F80" i="4"/>
  <c r="E80" i="4"/>
  <c r="B80" i="4"/>
  <c r="H76" i="4"/>
  <c r="F76" i="4"/>
  <c r="E76" i="4"/>
  <c r="B76" i="4"/>
  <c r="H75" i="4"/>
  <c r="F75" i="4"/>
  <c r="E75" i="4"/>
  <c r="B75" i="4"/>
  <c r="H74" i="4"/>
  <c r="F74" i="4"/>
  <c r="E74" i="4"/>
  <c r="B74" i="4"/>
  <c r="H73" i="4"/>
  <c r="F73" i="4"/>
  <c r="E73" i="4"/>
  <c r="B73" i="4"/>
  <c r="H72" i="4"/>
  <c r="F72" i="4"/>
  <c r="E72" i="4"/>
  <c r="B72" i="4"/>
  <c r="H71" i="4"/>
  <c r="F71" i="4"/>
  <c r="E71" i="4"/>
  <c r="B71" i="4"/>
  <c r="H70" i="4"/>
  <c r="F70" i="4"/>
  <c r="E70" i="4"/>
  <c r="B70" i="4"/>
  <c r="H69" i="4"/>
  <c r="F69" i="4"/>
  <c r="E69" i="4"/>
  <c r="B69" i="4"/>
  <c r="H68" i="4"/>
  <c r="F68" i="4"/>
  <c r="E68" i="4"/>
  <c r="B68" i="4"/>
  <c r="H67" i="4"/>
  <c r="F67" i="4"/>
  <c r="E67" i="4"/>
  <c r="B67" i="4"/>
  <c r="H66" i="4"/>
  <c r="F66" i="4"/>
  <c r="E66" i="4"/>
  <c r="B66" i="4"/>
  <c r="H65" i="4"/>
  <c r="F65" i="4"/>
  <c r="E65" i="4"/>
  <c r="B65" i="4"/>
  <c r="H64" i="4"/>
  <c r="F64" i="4"/>
  <c r="E64" i="4"/>
  <c r="B64" i="4"/>
  <c r="H63" i="4"/>
  <c r="F63" i="4"/>
  <c r="E63" i="4"/>
  <c r="B63" i="4"/>
  <c r="H62" i="4"/>
  <c r="F62" i="4"/>
  <c r="E62" i="4"/>
  <c r="B62" i="4"/>
  <c r="H61" i="4"/>
  <c r="F61" i="4"/>
  <c r="E61" i="4"/>
  <c r="B61" i="4"/>
  <c r="H60" i="4"/>
  <c r="F60" i="4"/>
  <c r="E60" i="4"/>
  <c r="B60" i="4"/>
  <c r="H59" i="4"/>
  <c r="F59" i="4"/>
  <c r="E59" i="4"/>
  <c r="B59" i="4"/>
  <c r="H58" i="4"/>
  <c r="F58" i="4"/>
  <c r="E58" i="4"/>
  <c r="B58" i="4"/>
  <c r="F57" i="4"/>
  <c r="E57" i="4"/>
  <c r="B57" i="4"/>
  <c r="G53" i="4"/>
  <c r="A53" i="4"/>
  <c r="D48" i="4"/>
  <c r="C48" i="4"/>
  <c r="G44" i="4"/>
  <c r="C44" i="4"/>
  <c r="G35" i="4"/>
  <c r="G34" i="4"/>
  <c r="H28" i="4"/>
  <c r="G23" i="4"/>
  <c r="E23" i="4"/>
  <c r="D23" i="4"/>
  <c r="G22" i="4"/>
  <c r="E22" i="4"/>
  <c r="D22" i="4"/>
  <c r="G21" i="4"/>
  <c r="E21" i="4"/>
  <c r="D21" i="4"/>
  <c r="G20" i="4"/>
  <c r="E20" i="4"/>
  <c r="D20" i="4"/>
  <c r="E19" i="4"/>
  <c r="D19" i="4"/>
  <c r="E18" i="4"/>
  <c r="D18" i="4"/>
  <c r="E17" i="4"/>
  <c r="D17" i="4"/>
  <c r="E15" i="4"/>
  <c r="D15" i="4"/>
  <c r="E14" i="4"/>
  <c r="D14" i="4"/>
  <c r="D13" i="4"/>
  <c r="E12" i="4"/>
  <c r="D12" i="4"/>
  <c r="D10" i="4"/>
  <c r="C10" i="4"/>
  <c r="B10" i="4"/>
  <c r="G9" i="4"/>
  <c r="E9" i="4"/>
  <c r="D9" i="4"/>
  <c r="C9" i="4"/>
  <c r="A5" i="4"/>
  <c r="C123" i="5"/>
  <c r="B123" i="5"/>
  <c r="I80" i="4"/>
  <c r="I81" i="4"/>
  <c r="I82" i="4"/>
  <c r="I83" i="4"/>
  <c r="I84" i="4"/>
  <c r="I85" i="4"/>
  <c r="I86" i="4"/>
  <c r="I87" i="4"/>
  <c r="I88" i="4"/>
  <c r="I89" i="4"/>
  <c r="I90" i="4"/>
  <c r="I58" i="4"/>
  <c r="I59" i="4"/>
  <c r="I60" i="4"/>
  <c r="I61" i="4"/>
  <c r="I62" i="4"/>
  <c r="I63" i="4"/>
  <c r="I64" i="4"/>
  <c r="I65" i="4"/>
  <c r="I66" i="4"/>
  <c r="I67" i="4"/>
  <c r="I68" i="4"/>
  <c r="I69" i="4"/>
  <c r="I70" i="4"/>
  <c r="I71" i="4"/>
  <c r="I72" i="4"/>
  <c r="I73" i="4"/>
  <c r="I74" i="4"/>
  <c r="I75" i="4"/>
  <c r="I76" i="4"/>
  <c r="E67" i="5"/>
  <c r="H23" i="4"/>
  <c r="H22" i="4"/>
  <c r="H21" i="4"/>
  <c r="H20" i="4"/>
  <c r="C2" i="5"/>
  <c r="G257" i="2"/>
  <c r="H257" i="2" s="1"/>
  <c r="I257" i="2" s="1"/>
  <c r="G256" i="2"/>
  <c r="H256" i="2"/>
  <c r="G255" i="2"/>
  <c r="G254" i="2"/>
  <c r="H254" i="2" s="1"/>
  <c r="G253" i="2"/>
  <c r="H253" i="2" s="1"/>
  <c r="G252" i="2"/>
  <c r="G251" i="2"/>
  <c r="H251" i="2"/>
  <c r="G250" i="2"/>
  <c r="H250" i="2"/>
  <c r="G249" i="2"/>
  <c r="H249" i="2"/>
  <c r="G248" i="2"/>
  <c r="H248" i="2" s="1"/>
  <c r="G247" i="2"/>
  <c r="G246" i="2"/>
  <c r="H246" i="2"/>
  <c r="G245" i="2"/>
  <c r="H245" i="2" s="1"/>
  <c r="G244" i="2"/>
  <c r="G243" i="2"/>
  <c r="H243" i="2" s="1"/>
  <c r="G242" i="2"/>
  <c r="H242" i="2"/>
  <c r="G241" i="2"/>
  <c r="H241" i="2"/>
  <c r="G240" i="2"/>
  <c r="H240" i="2"/>
  <c r="G239" i="2"/>
  <c r="G238" i="2"/>
  <c r="H238" i="2"/>
  <c r="G237" i="2"/>
  <c r="H237" i="2"/>
  <c r="G236" i="2"/>
  <c r="H236" i="2" s="1"/>
  <c r="I237" i="2" s="1"/>
  <c r="G235" i="2"/>
  <c r="H235" i="2"/>
  <c r="G234" i="2"/>
  <c r="H234" i="2" s="1"/>
  <c r="G233" i="2"/>
  <c r="H233" i="2"/>
  <c r="G232" i="2"/>
  <c r="H232" i="2"/>
  <c r="G231" i="2"/>
  <c r="G230" i="2"/>
  <c r="H230" i="2" s="1"/>
  <c r="G229" i="2"/>
  <c r="H229" i="2"/>
  <c r="G228" i="2"/>
  <c r="G227" i="2"/>
  <c r="G226" i="2"/>
  <c r="H226" i="2" s="1"/>
  <c r="G225" i="2"/>
  <c r="H225" i="2" s="1"/>
  <c r="G224" i="2"/>
  <c r="H224" i="2"/>
  <c r="G223" i="2"/>
  <c r="G222" i="2"/>
  <c r="H222" i="2"/>
  <c r="G221" i="2"/>
  <c r="H221" i="2"/>
  <c r="G220" i="2"/>
  <c r="G219" i="2"/>
  <c r="H219" i="2"/>
  <c r="G218" i="2"/>
  <c r="G217" i="2"/>
  <c r="H217" i="2"/>
  <c r="G216" i="2"/>
  <c r="H216" i="2"/>
  <c r="G215" i="2"/>
  <c r="G214" i="2"/>
  <c r="H214" i="2"/>
  <c r="G213" i="2"/>
  <c r="H213" i="2"/>
  <c r="G212" i="2"/>
  <c r="H212" i="2" s="1"/>
  <c r="G211" i="2"/>
  <c r="H211" i="2"/>
  <c r="G210" i="2"/>
  <c r="H210" i="2" s="1"/>
  <c r="G209" i="2"/>
  <c r="H209" i="2"/>
  <c r="G208" i="2"/>
  <c r="H208" i="2"/>
  <c r="G207" i="2"/>
  <c r="G206" i="2"/>
  <c r="H206" i="2" s="1"/>
  <c r="G205" i="2"/>
  <c r="H205" i="2"/>
  <c r="G204" i="2"/>
  <c r="G203" i="2"/>
  <c r="H203" i="2"/>
  <c r="G202" i="2"/>
  <c r="H202" i="2"/>
  <c r="G201" i="2"/>
  <c r="H201" i="2" s="1"/>
  <c r="G200" i="2"/>
  <c r="H200" i="2"/>
  <c r="G199" i="2"/>
  <c r="H199" i="2" s="1"/>
  <c r="I200" i="2" s="1"/>
  <c r="G198" i="2"/>
  <c r="H198" i="2" s="1"/>
  <c r="G197" i="2"/>
  <c r="H197" i="2" s="1"/>
  <c r="G196" i="2"/>
  <c r="G195" i="2"/>
  <c r="H195" i="2"/>
  <c r="G194" i="2"/>
  <c r="H194" i="2"/>
  <c r="G193" i="2"/>
  <c r="H193" i="2"/>
  <c r="G192" i="2"/>
  <c r="H192" i="2" s="1"/>
  <c r="G191" i="2"/>
  <c r="G190" i="2"/>
  <c r="H190" i="2"/>
  <c r="G189" i="2"/>
  <c r="H189" i="2" s="1"/>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2" i="2"/>
  <c r="G3" i="2"/>
  <c r="G4" i="2"/>
  <c r="G5" i="2"/>
  <c r="H139" i="2" s="1"/>
  <c r="G6" i="2"/>
  <c r="G7" i="2"/>
  <c r="G8" i="2"/>
  <c r="G9" i="2"/>
  <c r="G10" i="2"/>
  <c r="G11" i="2"/>
  <c r="G12" i="2"/>
  <c r="G13" i="2"/>
  <c r="G14" i="2"/>
  <c r="H14" i="2" s="1"/>
  <c r="G15" i="2"/>
  <c r="G16" i="2"/>
  <c r="G17" i="2"/>
  <c r="G18" i="2"/>
  <c r="G19" i="2"/>
  <c r="G20" i="2"/>
  <c r="G21" i="2"/>
  <c r="H21" i="2" s="1"/>
  <c r="I22" i="2" s="1"/>
  <c r="G22" i="2"/>
  <c r="H22" i="2" s="1"/>
  <c r="G23" i="2"/>
  <c r="G24" i="2"/>
  <c r="G25" i="2"/>
  <c r="G26" i="2"/>
  <c r="G27" i="2"/>
  <c r="G28" i="2"/>
  <c r="G29" i="2"/>
  <c r="H29" i="2" s="1"/>
  <c r="I30" i="2" s="1"/>
  <c r="G30" i="2"/>
  <c r="H30" i="2" s="1"/>
  <c r="G31" i="2"/>
  <c r="G32" i="2"/>
  <c r="G33" i="2"/>
  <c r="G34" i="2"/>
  <c r="G35" i="2"/>
  <c r="G36" i="2"/>
  <c r="G37" i="2"/>
  <c r="G38" i="2"/>
  <c r="H38" i="2" s="1"/>
  <c r="G39" i="2"/>
  <c r="G40" i="2"/>
  <c r="G41" i="2"/>
  <c r="G42" i="2"/>
  <c r="G43" i="2"/>
  <c r="G44" i="2"/>
  <c r="G45" i="2"/>
  <c r="H45" i="2" s="1"/>
  <c r="I46" i="2" s="1"/>
  <c r="G46" i="2"/>
  <c r="H46" i="2" s="1"/>
  <c r="G47" i="2"/>
  <c r="G48" i="2"/>
  <c r="G49" i="2"/>
  <c r="G50" i="2"/>
  <c r="G51" i="2"/>
  <c r="G52" i="2"/>
  <c r="G53" i="2"/>
  <c r="H53" i="2" s="1"/>
  <c r="I54" i="2" s="1"/>
  <c r="G54" i="2"/>
  <c r="H54" i="2" s="1"/>
  <c r="G55" i="2"/>
  <c r="G56" i="2"/>
  <c r="G57" i="2"/>
  <c r="G58" i="2"/>
  <c r="G59" i="2"/>
  <c r="G60" i="2"/>
  <c r="G61" i="2"/>
  <c r="H61" i="2" s="1"/>
  <c r="I62" i="2" s="1"/>
  <c r="G62" i="2"/>
  <c r="H62" i="2" s="1"/>
  <c r="G63" i="2"/>
  <c r="G64" i="2"/>
  <c r="G65" i="2"/>
  <c r="G66" i="2"/>
  <c r="G67" i="2"/>
  <c r="G68" i="2"/>
  <c r="G69" i="2"/>
  <c r="G70" i="2"/>
  <c r="H70" i="2" s="1"/>
  <c r="G71" i="2"/>
  <c r="G72" i="2"/>
  <c r="G73" i="2"/>
  <c r="G74" i="2"/>
  <c r="G75" i="2"/>
  <c r="G76" i="2"/>
  <c r="G77" i="2"/>
  <c r="G78" i="2"/>
  <c r="G79" i="2"/>
  <c r="G80" i="2"/>
  <c r="G81" i="2"/>
  <c r="G82" i="2"/>
  <c r="H2" i="2"/>
  <c r="J128" i="5"/>
  <c r="J130" i="5"/>
  <c r="K158" i="5"/>
  <c r="K159" i="5"/>
  <c r="K160" i="5"/>
  <c r="K161" i="5"/>
  <c r="K162" i="5"/>
  <c r="E66" i="5"/>
  <c r="E65" i="5"/>
  <c r="E64" i="5"/>
  <c r="A78" i="4"/>
  <c r="A55" i="4"/>
  <c r="H25" i="4"/>
  <c r="C24" i="4"/>
  <c r="B24" i="4"/>
  <c r="P89" i="3"/>
  <c r="O89" i="3"/>
  <c r="L89" i="3"/>
  <c r="P88" i="3"/>
  <c r="O88" i="3"/>
  <c r="L88" i="3"/>
  <c r="P87" i="3"/>
  <c r="O87" i="3"/>
  <c r="L87" i="3"/>
  <c r="P86" i="3"/>
  <c r="O86" i="3"/>
  <c r="L86" i="3"/>
  <c r="P85" i="3"/>
  <c r="O85" i="3"/>
  <c r="L85" i="3"/>
  <c r="P84" i="3"/>
  <c r="O84" i="3"/>
  <c r="L84" i="3"/>
  <c r="P83" i="3"/>
  <c r="O83" i="3"/>
  <c r="L83" i="3"/>
  <c r="P82" i="3"/>
  <c r="O82" i="3"/>
  <c r="L82" i="3"/>
  <c r="P81" i="3"/>
  <c r="O81" i="3"/>
  <c r="L81" i="3"/>
  <c r="P80" i="3"/>
  <c r="O80" i="3"/>
  <c r="L80" i="3"/>
  <c r="K78" i="3"/>
  <c r="A78" i="3"/>
  <c r="P76" i="3"/>
  <c r="O76" i="3"/>
  <c r="L76" i="3"/>
  <c r="P75" i="3"/>
  <c r="O75" i="3"/>
  <c r="L75" i="3"/>
  <c r="P74" i="3"/>
  <c r="O74" i="3"/>
  <c r="L74" i="3"/>
  <c r="P73" i="3"/>
  <c r="O73" i="3"/>
  <c r="L73" i="3"/>
  <c r="P72" i="3"/>
  <c r="O72" i="3"/>
  <c r="L72" i="3"/>
  <c r="P71" i="3"/>
  <c r="O71" i="3"/>
  <c r="L71" i="3"/>
  <c r="P70" i="3"/>
  <c r="O70" i="3"/>
  <c r="L70" i="3"/>
  <c r="P69" i="3"/>
  <c r="O69" i="3"/>
  <c r="L69" i="3"/>
  <c r="P68" i="3"/>
  <c r="O68" i="3"/>
  <c r="L68" i="3"/>
  <c r="P67" i="3"/>
  <c r="O67" i="3"/>
  <c r="L67" i="3"/>
  <c r="P66" i="3"/>
  <c r="O66" i="3"/>
  <c r="L66" i="3"/>
  <c r="P65" i="3"/>
  <c r="O65" i="3"/>
  <c r="L65" i="3"/>
  <c r="P64" i="3"/>
  <c r="O64" i="3"/>
  <c r="L64" i="3"/>
  <c r="P63" i="3"/>
  <c r="O63" i="3"/>
  <c r="L63" i="3"/>
  <c r="P62" i="3"/>
  <c r="O62" i="3"/>
  <c r="L62" i="3"/>
  <c r="P61" i="3"/>
  <c r="O61" i="3"/>
  <c r="L61" i="3"/>
  <c r="P60" i="3"/>
  <c r="O60" i="3"/>
  <c r="L60" i="3"/>
  <c r="P59" i="3"/>
  <c r="O59" i="3"/>
  <c r="L59" i="3"/>
  <c r="P58" i="3"/>
  <c r="O58" i="3"/>
  <c r="L58" i="3"/>
  <c r="P57" i="3"/>
  <c r="O57" i="3"/>
  <c r="L57" i="3"/>
  <c r="K55" i="3"/>
  <c r="A55" i="3"/>
  <c r="Q37" i="3"/>
  <c r="G37" i="3"/>
  <c r="R9" i="3"/>
  <c r="R10" i="3"/>
  <c r="R25" i="3"/>
  <c r="R12" i="3"/>
  <c r="R13" i="3"/>
  <c r="R14" i="3"/>
  <c r="R15" i="3"/>
  <c r="R16" i="3"/>
  <c r="R17" i="3"/>
  <c r="R18" i="3"/>
  <c r="R19" i="3"/>
  <c r="R20" i="3"/>
  <c r="R21" i="3"/>
  <c r="R22" i="3"/>
  <c r="R23" i="3"/>
  <c r="H9" i="3"/>
  <c r="H10" i="3"/>
  <c r="H25" i="3"/>
  <c r="H12" i="3"/>
  <c r="H13" i="3"/>
  <c r="H14" i="3"/>
  <c r="H15" i="3"/>
  <c r="H16" i="3"/>
  <c r="H17" i="3"/>
  <c r="H18" i="3"/>
  <c r="H19" i="3"/>
  <c r="H20" i="3"/>
  <c r="H21" i="3"/>
  <c r="H22" i="3"/>
  <c r="H23" i="3"/>
  <c r="Q24" i="3"/>
  <c r="O24" i="3"/>
  <c r="N24" i="3"/>
  <c r="M24" i="3"/>
  <c r="L24" i="3"/>
  <c r="G24" i="3"/>
  <c r="E24" i="3"/>
  <c r="D24" i="3"/>
  <c r="C24" i="3"/>
  <c r="B24" i="3"/>
  <c r="Q5" i="3"/>
  <c r="K5" i="3"/>
  <c r="L2" i="3"/>
  <c r="E2"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F256" i="2"/>
  <c r="F257" i="2"/>
  <c r="E257" i="2"/>
  <c r="F255" i="2"/>
  <c r="H255" i="2"/>
  <c r="I256" i="2" s="1"/>
  <c r="E256" i="2"/>
  <c r="F254" i="2"/>
  <c r="E255" i="2"/>
  <c r="F253" i="2"/>
  <c r="E254" i="2"/>
  <c r="F252" i="2"/>
  <c r="H252" i="2"/>
  <c r="E253" i="2"/>
  <c r="F251" i="2"/>
  <c r="E252" i="2"/>
  <c r="F250" i="2"/>
  <c r="E251" i="2"/>
  <c r="F249" i="2"/>
  <c r="E250" i="2"/>
  <c r="F248" i="2"/>
  <c r="E249" i="2"/>
  <c r="F247" i="2"/>
  <c r="H247" i="2"/>
  <c r="E248" i="2"/>
  <c r="F246" i="2"/>
  <c r="E247" i="2"/>
  <c r="F245" i="2"/>
  <c r="E246" i="2"/>
  <c r="F244" i="2"/>
  <c r="H244" i="2"/>
  <c r="E245" i="2"/>
  <c r="F243" i="2"/>
  <c r="E244" i="2"/>
  <c r="F242" i="2"/>
  <c r="E243" i="2"/>
  <c r="F241" i="2"/>
  <c r="E242" i="2"/>
  <c r="F240" i="2"/>
  <c r="E241" i="2"/>
  <c r="F239" i="2"/>
  <c r="H239" i="2"/>
  <c r="E240" i="2"/>
  <c r="F238" i="2"/>
  <c r="E239" i="2"/>
  <c r="F237" i="2"/>
  <c r="E238" i="2"/>
  <c r="F236" i="2"/>
  <c r="E237" i="2"/>
  <c r="F235" i="2"/>
  <c r="E236" i="2"/>
  <c r="F234" i="2"/>
  <c r="E235" i="2"/>
  <c r="F233" i="2"/>
  <c r="E234" i="2"/>
  <c r="F232" i="2"/>
  <c r="E233" i="2"/>
  <c r="F231" i="2"/>
  <c r="H231" i="2"/>
  <c r="E232" i="2"/>
  <c r="F230" i="2"/>
  <c r="E231" i="2"/>
  <c r="F229" i="2"/>
  <c r="E230" i="2"/>
  <c r="F228" i="2"/>
  <c r="H228" i="2"/>
  <c r="E229" i="2"/>
  <c r="F227" i="2"/>
  <c r="H227" i="2"/>
  <c r="E228" i="2"/>
  <c r="F226" i="2"/>
  <c r="E227" i="2"/>
  <c r="F225" i="2"/>
  <c r="F224" i="2"/>
  <c r="F223" i="2"/>
  <c r="H223" i="2"/>
  <c r="F222" i="2"/>
  <c r="F221" i="2"/>
  <c r="F220" i="2"/>
  <c r="H220" i="2"/>
  <c r="F219" i="2"/>
  <c r="F218" i="2"/>
  <c r="H218" i="2"/>
  <c r="F217" i="2"/>
  <c r="F216" i="2"/>
  <c r="F215" i="2"/>
  <c r="H215" i="2"/>
  <c r="F214" i="2"/>
  <c r="F213" i="2"/>
  <c r="F212" i="2"/>
  <c r="F211" i="2"/>
  <c r="F210" i="2"/>
  <c r="F209" i="2"/>
  <c r="F208" i="2"/>
  <c r="F207" i="2"/>
  <c r="H207" i="2"/>
  <c r="F206" i="2"/>
  <c r="F205" i="2"/>
  <c r="F204" i="2"/>
  <c r="H204" i="2"/>
  <c r="F203" i="2"/>
  <c r="F202" i="2"/>
  <c r="F201" i="2"/>
  <c r="F200" i="2"/>
  <c r="F199" i="2"/>
  <c r="F198" i="2"/>
  <c r="F197" i="2"/>
  <c r="F196" i="2"/>
  <c r="H196" i="2"/>
  <c r="F195" i="2"/>
  <c r="F194" i="2"/>
  <c r="F193" i="2"/>
  <c r="F192" i="2"/>
  <c r="F191" i="2"/>
  <c r="H191" i="2"/>
  <c r="F190" i="2"/>
  <c r="F189" i="2"/>
  <c r="F188" i="2"/>
  <c r="F2"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 r="Y10" i="1"/>
  <c r="Y9" i="1"/>
  <c r="Y8" i="1"/>
  <c r="Y7" i="1"/>
  <c r="Y6" i="1"/>
  <c r="Y5" i="1"/>
  <c r="Y4" i="1"/>
  <c r="Y3" i="1"/>
  <c r="H4" i="2"/>
  <c r="H78" i="2"/>
  <c r="H89" i="2"/>
  <c r="H108" i="2"/>
  <c r="H118" i="2"/>
  <c r="H153" i="2"/>
  <c r="H161" i="2"/>
  <c r="H180" i="2"/>
  <c r="H6" i="2"/>
  <c r="H27" i="2"/>
  <c r="H37" i="2"/>
  <c r="I38" i="2" s="1"/>
  <c r="H50" i="2"/>
  <c r="H65" i="2"/>
  <c r="H3" i="2"/>
  <c r="I193" i="2"/>
  <c r="I2" i="2"/>
  <c r="G5" i="4"/>
  <c r="I3" i="2"/>
  <c r="R26" i="3" l="1"/>
  <c r="R27" i="3" s="1"/>
  <c r="R29" i="3" s="1"/>
  <c r="G37" i="4"/>
  <c r="B67" i="5" s="1"/>
  <c r="J55" i="5"/>
  <c r="H26" i="4"/>
  <c r="H27" i="4" s="1"/>
  <c r="H29" i="4" s="1"/>
  <c r="G24" i="4"/>
  <c r="H32" i="5"/>
  <c r="H33" i="5" s="1"/>
  <c r="D96" i="5" s="1"/>
  <c r="J96" i="5" s="1"/>
  <c r="H26" i="3"/>
  <c r="H27" i="3" s="1"/>
  <c r="H29" i="3" s="1"/>
  <c r="J38" i="5"/>
  <c r="J39" i="5" s="1"/>
  <c r="I240" i="2"/>
  <c r="I239" i="2"/>
  <c r="I241" i="2"/>
  <c r="I242" i="2"/>
  <c r="I194" i="2"/>
  <c r="I195" i="2"/>
  <c r="I211" i="2"/>
  <c r="I210" i="2"/>
  <c r="I226" i="2"/>
  <c r="I224" i="2"/>
  <c r="I233" i="2"/>
  <c r="I238" i="2"/>
  <c r="I255" i="2"/>
  <c r="H171" i="2"/>
  <c r="H99" i="2"/>
  <c r="I190" i="2"/>
  <c r="I227" i="2"/>
  <c r="I249" i="2"/>
  <c r="I254" i="2"/>
  <c r="I4" i="2"/>
  <c r="I229" i="2"/>
  <c r="I39" i="2"/>
  <c r="H115" i="2"/>
  <c r="H151" i="2"/>
  <c r="I152" i="2" s="1"/>
  <c r="H98" i="2"/>
  <c r="H160" i="2"/>
  <c r="I161" i="2" s="1"/>
  <c r="H13" i="2"/>
  <c r="I14" i="2" s="1"/>
  <c r="H76" i="2"/>
  <c r="I77" i="2" s="1"/>
  <c r="H117" i="2"/>
  <c r="I118" i="2" s="1"/>
  <c r="H125" i="2"/>
  <c r="I126" i="2" s="1"/>
  <c r="H170" i="2"/>
  <c r="H36" i="2"/>
  <c r="I37" i="2" s="1"/>
  <c r="H28" i="2"/>
  <c r="H77" i="2"/>
  <c r="I78" i="2" s="1"/>
  <c r="H107" i="2"/>
  <c r="I108" i="2" s="1"/>
  <c r="H143" i="2"/>
  <c r="I144" i="2" s="1"/>
  <c r="H179" i="2"/>
  <c r="I180" i="2" s="1"/>
  <c r="H15" i="2"/>
  <c r="H64" i="2"/>
  <c r="I65" i="2" s="1"/>
  <c r="H8" i="2"/>
  <c r="H88" i="2"/>
  <c r="I89" i="2" s="1"/>
  <c r="H152" i="2"/>
  <c r="I153" i="2" s="1"/>
  <c r="H49" i="2"/>
  <c r="I50" i="2" s="1"/>
  <c r="H86" i="2"/>
  <c r="I87" i="2" s="1"/>
  <c r="H94" i="2"/>
  <c r="H102" i="2"/>
  <c r="H110" i="2"/>
  <c r="H134" i="2"/>
  <c r="H142" i="2"/>
  <c r="H150" i="2"/>
  <c r="H158" i="2"/>
  <c r="H166" i="2"/>
  <c r="H174" i="2"/>
  <c r="H182" i="2"/>
  <c r="I191" i="2"/>
  <c r="I201" i="2"/>
  <c r="I202" i="2"/>
  <c r="I206" i="2"/>
  <c r="I203" i="2"/>
  <c r="I207" i="2"/>
  <c r="H87" i="2"/>
  <c r="I88" i="2" s="1"/>
  <c r="H95" i="2"/>
  <c r="H103" i="2"/>
  <c r="H111" i="2"/>
  <c r="H119" i="2"/>
  <c r="H127" i="2"/>
  <c r="H159" i="2"/>
  <c r="I160" i="2" s="1"/>
  <c r="H167" i="2"/>
  <c r="I168" i="2" s="1"/>
  <c r="H175" i="2"/>
  <c r="H183" i="2"/>
  <c r="I212" i="2"/>
  <c r="I213" i="2"/>
  <c r="I217" i="2"/>
  <c r="I216" i="2"/>
  <c r="I218" i="2"/>
  <c r="I215" i="2"/>
  <c r="I219" i="2"/>
  <c r="I223" i="2"/>
  <c r="I222" i="2"/>
  <c r="I220" i="2"/>
  <c r="I221" i="2"/>
  <c r="I244" i="2"/>
  <c r="I243" i="2"/>
  <c r="I140" i="2"/>
  <c r="H144" i="2"/>
  <c r="H165" i="2"/>
  <c r="I228" i="2"/>
  <c r="I253" i="2"/>
  <c r="I208" i="2"/>
  <c r="I209" i="2"/>
  <c r="I214" i="2"/>
  <c r="I235" i="2"/>
  <c r="I234" i="2"/>
  <c r="I251" i="2"/>
  <c r="I250" i="2"/>
  <c r="I248" i="2"/>
  <c r="H187" i="2"/>
  <c r="I188" i="2" s="1"/>
  <c r="I205" i="2"/>
  <c r="I198" i="2"/>
  <c r="I196" i="2"/>
  <c r="I197" i="2"/>
  <c r="I204" i="2"/>
  <c r="I246" i="2"/>
  <c r="I245" i="2"/>
  <c r="I119" i="2"/>
  <c r="I236" i="2"/>
  <c r="I232" i="2"/>
  <c r="H135" i="2"/>
  <c r="I225" i="2"/>
  <c r="H69" i="2"/>
  <c r="I70" i="2" s="1"/>
  <c r="H126" i="2"/>
  <c r="I127" i="2" s="1"/>
  <c r="H23" i="2"/>
  <c r="I192" i="2"/>
  <c r="I199" i="2"/>
  <c r="I231" i="2"/>
  <c r="I230" i="2"/>
  <c r="I247" i="2"/>
  <c r="J2" i="5"/>
  <c r="H20" i="2"/>
  <c r="I21" i="2" s="1"/>
  <c r="H74" i="2"/>
  <c r="H60" i="2"/>
  <c r="I61" i="2" s="1"/>
  <c r="H47" i="2"/>
  <c r="I47" i="2" s="1"/>
  <c r="H34" i="2"/>
  <c r="H72" i="2"/>
  <c r="I73" i="2" s="1"/>
  <c r="H185" i="2"/>
  <c r="H177" i="2"/>
  <c r="H168" i="2"/>
  <c r="H149" i="2"/>
  <c r="I150" i="2" s="1"/>
  <c r="H141" i="2"/>
  <c r="I142" i="2" s="1"/>
  <c r="H132" i="2"/>
  <c r="H123" i="2"/>
  <c r="H113" i="2"/>
  <c r="H105" i="2"/>
  <c r="H96" i="2"/>
  <c r="H71" i="2"/>
  <c r="H55" i="2"/>
  <c r="I56" i="2" s="1"/>
  <c r="H83" i="2"/>
  <c r="F166" i="5"/>
  <c r="K166" i="5" s="1"/>
  <c r="K167" i="5" s="1"/>
  <c r="K168" i="5" s="1"/>
  <c r="C3" i="5"/>
  <c r="I92" i="5" s="1"/>
  <c r="E92" i="5" s="1"/>
  <c r="J92" i="5" s="1"/>
  <c r="H19" i="2"/>
  <c r="I20" i="2" s="1"/>
  <c r="H73" i="2"/>
  <c r="H59" i="2"/>
  <c r="H33" i="2"/>
  <c r="H58" i="2"/>
  <c r="I59" i="2" s="1"/>
  <c r="H184" i="2"/>
  <c r="I185" i="2" s="1"/>
  <c r="H176" i="2"/>
  <c r="I177" i="2" s="1"/>
  <c r="H157" i="2"/>
  <c r="I158" i="2" s="1"/>
  <c r="H148" i="2"/>
  <c r="H140" i="2"/>
  <c r="H131" i="2"/>
  <c r="H122" i="2"/>
  <c r="H112" i="2"/>
  <c r="I113" i="2" s="1"/>
  <c r="H82" i="2"/>
  <c r="I83" i="2" s="1"/>
  <c r="H56" i="2"/>
  <c r="H128" i="2"/>
  <c r="H104" i="2"/>
  <c r="I105" i="2" s="1"/>
  <c r="I252" i="2"/>
  <c r="H12" i="2"/>
  <c r="I13" i="2" s="1"/>
  <c r="H9" i="2"/>
  <c r="H18" i="2"/>
  <c r="I19" i="2" s="1"/>
  <c r="H68" i="2"/>
  <c r="I69" i="2" s="1"/>
  <c r="H57" i="2"/>
  <c r="H44" i="2"/>
  <c r="I45" i="2" s="1"/>
  <c r="H32" i="2"/>
  <c r="I33" i="2" s="1"/>
  <c r="H40" i="2"/>
  <c r="H156" i="2"/>
  <c r="H147" i="2"/>
  <c r="H138" i="2"/>
  <c r="I139" i="2" s="1"/>
  <c r="H130" i="2"/>
  <c r="I131" i="2" s="1"/>
  <c r="H121" i="2"/>
  <c r="I122" i="2" s="1"/>
  <c r="H92" i="2"/>
  <c r="I93" i="2" s="1"/>
  <c r="H81" i="2"/>
  <c r="I82" i="2" s="1"/>
  <c r="H39" i="2"/>
  <c r="I40" i="2" s="1"/>
  <c r="H85" i="2"/>
  <c r="H116" i="2"/>
  <c r="I117" i="2" s="1"/>
  <c r="H7" i="2"/>
  <c r="I8" i="2" s="1"/>
  <c r="H17" i="2"/>
  <c r="H67" i="2"/>
  <c r="I68" i="2" s="1"/>
  <c r="H52" i="2"/>
  <c r="I53" i="2" s="1"/>
  <c r="H43" i="2"/>
  <c r="H31" i="2"/>
  <c r="H26" i="2"/>
  <c r="I27" i="2" s="1"/>
  <c r="H173" i="2"/>
  <c r="I174" i="2" s="1"/>
  <c r="H164" i="2"/>
  <c r="I165" i="2" s="1"/>
  <c r="H155" i="2"/>
  <c r="I156" i="2" s="1"/>
  <c r="H146" i="2"/>
  <c r="I147" i="2" s="1"/>
  <c r="H137" i="2"/>
  <c r="H129" i="2"/>
  <c r="I130" i="2" s="1"/>
  <c r="H120" i="2"/>
  <c r="H101" i="2"/>
  <c r="I102" i="2" s="1"/>
  <c r="H91" i="2"/>
  <c r="H80" i="2"/>
  <c r="I81" i="2" s="1"/>
  <c r="H24" i="2"/>
  <c r="D100" i="5"/>
  <c r="B44" i="5"/>
  <c r="H16" i="2"/>
  <c r="I17" i="2" s="1"/>
  <c r="H66" i="2"/>
  <c r="H51" i="2"/>
  <c r="H41" i="2"/>
  <c r="H42" i="2"/>
  <c r="I43" i="2" s="1"/>
  <c r="H11" i="2"/>
  <c r="I12" i="2" s="1"/>
  <c r="H181" i="2"/>
  <c r="I182" i="2" s="1"/>
  <c r="H172" i="2"/>
  <c r="I173" i="2" s="1"/>
  <c r="H162" i="2"/>
  <c r="I163" i="2" s="1"/>
  <c r="H154" i="2"/>
  <c r="I154" i="2" s="1"/>
  <c r="H145" i="2"/>
  <c r="H136" i="2"/>
  <c r="H109" i="2"/>
  <c r="I110" i="2" s="1"/>
  <c r="H100" i="2"/>
  <c r="I101" i="2" s="1"/>
  <c r="H90" i="2"/>
  <c r="I91" i="2" s="1"/>
  <c r="H79" i="2"/>
  <c r="I80" i="2" s="1"/>
  <c r="H10" i="2"/>
  <c r="H188" i="2"/>
  <c r="I189" i="2" s="1"/>
  <c r="H5" i="2"/>
  <c r="I6" i="2" s="1"/>
  <c r="H163" i="2"/>
  <c r="B43" i="5"/>
  <c r="I45" i="5" s="1"/>
  <c r="H25" i="2"/>
  <c r="I26" i="2" s="1"/>
  <c r="H75" i="2"/>
  <c r="I76" i="2" s="1"/>
  <c r="H63" i="2"/>
  <c r="I64" i="2" s="1"/>
  <c r="H48" i="2"/>
  <c r="I49" i="2" s="1"/>
  <c r="H35" i="2"/>
  <c r="I36" i="2" s="1"/>
  <c r="H186" i="2"/>
  <c r="H178" i="2"/>
  <c r="I179" i="2" s="1"/>
  <c r="H169" i="2"/>
  <c r="I170" i="2" s="1"/>
  <c r="H133" i="2"/>
  <c r="I134" i="2" s="1"/>
  <c r="H124" i="2"/>
  <c r="I125" i="2" s="1"/>
  <c r="H114" i="2"/>
  <c r="I115" i="2" s="1"/>
  <c r="H106" i="2"/>
  <c r="I107" i="2" s="1"/>
  <c r="H97" i="2"/>
  <c r="I98" i="2" s="1"/>
  <c r="H84" i="2"/>
  <c r="I85" i="2" s="1"/>
  <c r="H93" i="2"/>
  <c r="I94" i="2" s="1"/>
  <c r="E178" i="5"/>
  <c r="J46" i="5" l="1"/>
  <c r="H35" i="5"/>
  <c r="J83" i="5" s="1"/>
  <c r="I24" i="2"/>
  <c r="I172" i="2"/>
  <c r="I164" i="2"/>
  <c r="I137" i="2"/>
  <c r="I42" i="2"/>
  <c r="I92" i="2"/>
  <c r="I148" i="2"/>
  <c r="I10" i="2"/>
  <c r="I123" i="2"/>
  <c r="I34" i="2"/>
  <c r="I72" i="2"/>
  <c r="I169" i="2"/>
  <c r="I159" i="2"/>
  <c r="I75" i="2"/>
  <c r="I7" i="2"/>
  <c r="I167" i="2"/>
  <c r="I187" i="2"/>
  <c r="I52" i="2"/>
  <c r="I86" i="2"/>
  <c r="I157" i="2"/>
  <c r="I132" i="2"/>
  <c r="I60" i="2"/>
  <c r="I97" i="2"/>
  <c r="I178" i="2"/>
  <c r="C7" i="5"/>
  <c r="K179" i="5"/>
  <c r="F175" i="5"/>
  <c r="F176" i="5"/>
  <c r="E175" i="5"/>
  <c r="I128" i="2"/>
  <c r="I151" i="2"/>
  <c r="I55" i="2"/>
  <c r="I5" i="2"/>
  <c r="I109" i="2"/>
  <c r="I146" i="2"/>
  <c r="I155" i="2"/>
  <c r="I67" i="2"/>
  <c r="I121" i="2"/>
  <c r="I32" i="2"/>
  <c r="I41" i="2"/>
  <c r="I141" i="2"/>
  <c r="I74" i="2"/>
  <c r="I106" i="2"/>
  <c r="I186" i="2"/>
  <c r="I120" i="2"/>
  <c r="I143" i="2"/>
  <c r="I29" i="2"/>
  <c r="I28" i="2"/>
  <c r="I99" i="2"/>
  <c r="I63" i="2"/>
  <c r="I11" i="2"/>
  <c r="I44" i="2"/>
  <c r="I149" i="2"/>
  <c r="I114" i="2"/>
  <c r="I136" i="2"/>
  <c r="I166" i="2"/>
  <c r="I112" i="2"/>
  <c r="I135" i="2"/>
  <c r="I9" i="2"/>
  <c r="I71" i="2"/>
  <c r="I138" i="2"/>
  <c r="I129" i="2"/>
  <c r="I124" i="2"/>
  <c r="I35" i="2"/>
  <c r="I145" i="2"/>
  <c r="I104" i="2"/>
  <c r="I111" i="2"/>
  <c r="I171" i="2"/>
  <c r="I116" i="2"/>
  <c r="I90" i="2"/>
  <c r="D109" i="5"/>
  <c r="D107" i="5"/>
  <c r="J105" i="5" s="1"/>
  <c r="I58" i="2"/>
  <c r="I57" i="2"/>
  <c r="I133" i="2"/>
  <c r="I48" i="2"/>
  <c r="I184" i="2"/>
  <c r="I96" i="2"/>
  <c r="I183" i="2"/>
  <c r="I103" i="2"/>
  <c r="I16" i="2"/>
  <c r="I15" i="2"/>
  <c r="I23" i="2"/>
  <c r="I162" i="2"/>
  <c r="I25" i="2"/>
  <c r="I18" i="2"/>
  <c r="I84" i="2"/>
  <c r="I51" i="2"/>
  <c r="I79" i="2"/>
  <c r="I176" i="2"/>
  <c r="I175" i="2"/>
  <c r="I95" i="2"/>
  <c r="I31" i="2"/>
  <c r="I66" i="2"/>
  <c r="I100" i="2"/>
  <c r="I181" i="2"/>
  <c r="J86" i="5" l="1"/>
  <c r="J119" i="5"/>
  <c r="G163" i="5"/>
  <c r="G119" i="5"/>
  <c r="J123" i="5"/>
  <c r="J84" i="5"/>
  <c r="G34" i="5"/>
  <c r="G115" i="5"/>
  <c r="J87" i="5"/>
  <c r="K155" i="5"/>
  <c r="J115" i="5"/>
  <c r="I3" i="5"/>
  <c r="A2" i="5"/>
  <c r="G87" i="5"/>
  <c r="G84" i="5"/>
  <c r="J132" i="5" l="1"/>
  <c r="J135" i="5" l="1"/>
  <c r="J137" i="5" s="1"/>
  <c r="K154" i="5" l="1"/>
  <c r="K172" i="5" s="1"/>
  <c r="K177" i="5" s="1"/>
  <c r="J149" i="5"/>
</calcChain>
</file>

<file path=xl/comments1.xml><?xml version="1.0" encoding="utf-8"?>
<comments xmlns="http://schemas.openxmlformats.org/spreadsheetml/2006/main">
  <authors>
    <author>Sara Cordova</author>
  </authors>
  <commentList>
    <comment ref="H34" authorId="0" shapeId="0">
      <text>
        <r>
          <rPr>
            <b/>
            <sz val="9"/>
            <color indexed="81"/>
            <rFont val="Tahoma"/>
            <family val="2"/>
          </rPr>
          <t>Enter the total membership of all local charter schools authorized by the school district.  Locally chartered charter schools may be identified from the Program Cost worksheet and identification of any new charter projected MEM.  If entity is a charter school leave blank.</t>
        </r>
        <r>
          <rPr>
            <sz val="9"/>
            <color indexed="81"/>
            <rFont val="Tahoma"/>
            <family val="2"/>
          </rPr>
          <t xml:space="preserve">
</t>
        </r>
      </text>
    </comment>
    <comment ref="I42" authorId="0" shapeId="0">
      <text>
        <r>
          <rPr>
            <b/>
            <sz val="9"/>
            <color indexed="81"/>
            <rFont val="Tahoma"/>
            <family val="2"/>
          </rPr>
          <t>22-8-2 Q (2)</t>
        </r>
      </text>
    </comment>
    <comment ref="D58" authorId="0" shapeId="0">
      <text>
        <r>
          <rPr>
            <b/>
            <sz val="9"/>
            <color indexed="81"/>
            <rFont val="Tahoma"/>
            <family val="2"/>
          </rPr>
          <t>Data entry:
Data comes from the "New Program Membership Form" submitted in October.</t>
        </r>
        <r>
          <rPr>
            <sz val="9"/>
            <color indexed="81"/>
            <rFont val="Tahoma"/>
            <family val="2"/>
          </rPr>
          <t xml:space="preserve">
</t>
        </r>
      </text>
    </comment>
    <comment ref="D63" authorId="0" shapeId="0">
      <text>
        <r>
          <rPr>
            <b/>
            <sz val="9"/>
            <color indexed="81"/>
            <rFont val="Tahoma"/>
            <family val="2"/>
          </rPr>
          <t>Data Entry:
Data comes from the "New Program Membership Form" submitted in October.</t>
        </r>
        <r>
          <rPr>
            <sz val="9"/>
            <color indexed="81"/>
            <rFont val="Tahoma"/>
            <family val="2"/>
          </rPr>
          <t xml:space="preserve">
</t>
        </r>
      </text>
    </comment>
    <comment ref="I78" authorId="0" shapeId="0">
      <text>
        <r>
          <rPr>
            <b/>
            <sz val="9"/>
            <color indexed="81"/>
            <rFont val="Tahoma"/>
            <family val="2"/>
          </rPr>
          <t>22-8-23 B (2)</t>
        </r>
        <r>
          <rPr>
            <sz val="9"/>
            <color indexed="81"/>
            <rFont val="Tahoma"/>
            <family val="2"/>
          </rPr>
          <t xml:space="preserve">
</t>
        </r>
      </text>
    </comment>
    <comment ref="D81" authorId="0" shapeId="0">
      <text>
        <r>
          <rPr>
            <b/>
            <sz val="9"/>
            <color indexed="81"/>
            <rFont val="Tahoma"/>
            <family val="2"/>
          </rPr>
          <t>Districts:
Take cell H33
Charters:
Ask the District to which you belong what the District MEM is.</t>
        </r>
      </text>
    </comment>
    <comment ref="D91" authorId="0" shapeId="0">
      <text>
        <r>
          <rPr>
            <b/>
            <sz val="9"/>
            <color indexed="81"/>
            <rFont val="Tahoma"/>
            <family val="2"/>
          </rPr>
          <t>22-8-23 E</t>
        </r>
        <r>
          <rPr>
            <sz val="9"/>
            <color indexed="81"/>
            <rFont val="Tahoma"/>
            <family val="2"/>
          </rPr>
          <t xml:space="preserve">
</t>
        </r>
      </text>
    </comment>
    <comment ref="B93" authorId="0" shapeId="0">
      <text>
        <r>
          <rPr>
            <b/>
            <sz val="9"/>
            <color indexed="81"/>
            <rFont val="Tahoma"/>
            <family val="2"/>
          </rPr>
          <t>Charter Schools need to state Y or N depending on when they were chartered.
School Districts are always N</t>
        </r>
        <r>
          <rPr>
            <sz val="9"/>
            <color indexed="81"/>
            <rFont val="Tahoma"/>
            <family val="2"/>
          </rPr>
          <t xml:space="preserve">
</t>
        </r>
      </text>
    </comment>
    <comment ref="A95" authorId="0" shapeId="0">
      <text>
        <r>
          <rPr>
            <b/>
            <sz val="9"/>
            <color indexed="81"/>
            <rFont val="Tahoma"/>
            <family val="2"/>
          </rPr>
          <t>22-8-23.3.
Only for School Districts</t>
        </r>
        <r>
          <rPr>
            <sz val="9"/>
            <color indexed="81"/>
            <rFont val="Tahoma"/>
            <family val="2"/>
          </rPr>
          <t xml:space="preserve">
</t>
        </r>
      </text>
    </comment>
    <comment ref="J135" authorId="0" shapeId="0">
      <text>
        <r>
          <rPr>
            <b/>
            <sz val="9"/>
            <color indexed="81"/>
            <rFont val="Tahoma"/>
            <family val="2"/>
          </rPr>
          <t>Only for the 40th Day SEG Adjustment calculation!</t>
        </r>
      </text>
    </comment>
    <comment ref="D140" authorId="0" shapeId="0">
      <text>
        <r>
          <rPr>
            <b/>
            <sz val="9"/>
            <color indexed="81"/>
            <rFont val="Tahoma"/>
            <family val="2"/>
          </rPr>
          <t>Data comes from the "New Program Membership Form" submitted in October.</t>
        </r>
      </text>
    </comment>
    <comment ref="D145" authorId="0" shapeId="0">
      <text>
        <r>
          <rPr>
            <b/>
            <sz val="9"/>
            <color indexed="81"/>
            <rFont val="Tahoma"/>
            <family val="2"/>
          </rPr>
          <t>Data comes from the "New Program Membership Form" submitted in October.</t>
        </r>
        <r>
          <rPr>
            <sz val="9"/>
            <color indexed="81"/>
            <rFont val="Tahoma"/>
            <family val="2"/>
          </rPr>
          <t xml:space="preserve">
</t>
        </r>
      </text>
    </comment>
  </commentList>
</comments>
</file>

<file path=xl/sharedStrings.xml><?xml version="1.0" encoding="utf-8"?>
<sst xmlns="http://schemas.openxmlformats.org/spreadsheetml/2006/main" count="6210" uniqueCount="969">
  <si>
    <t>Factors/Weights</t>
  </si>
  <si>
    <t xml:space="preserve"> District/Charter</t>
  </si>
  <si>
    <t>Geographical Location</t>
  </si>
  <si>
    <t>LEA Code (District)</t>
  </si>
  <si>
    <t>School Location (Charter)</t>
  </si>
  <si>
    <t>ENTITY STARS CODE</t>
  </si>
  <si>
    <t>D/LC/SC
(District,
Local Charter,
State Charter)</t>
  </si>
  <si>
    <t>Total:</t>
  </si>
  <si>
    <t>Urban:</t>
  </si>
  <si>
    <t>Rural</t>
  </si>
  <si>
    <t>Percent Rural</t>
  </si>
  <si>
    <t>Elementary PE Mem</t>
  </si>
  <si>
    <t>T&amp;E</t>
  </si>
  <si>
    <t>TCI</t>
  </si>
  <si>
    <t>T&amp;E factor</t>
  </si>
  <si>
    <t>TCI factor</t>
  </si>
  <si>
    <t>SCM</t>
  </si>
  <si>
    <t>National Board  Cert. Teachers FTE</t>
  </si>
  <si>
    <t>Chartered After 7/1/2018?</t>
  </si>
  <si>
    <t>2020-2021 Actual First Reporting Period Mem
[Growth Units Calculation]</t>
  </si>
  <si>
    <t xml:space="preserve">SEG as of January 1, 2021
</t>
  </si>
  <si>
    <t>ALAMOGORDO</t>
  </si>
  <si>
    <t xml:space="preserve">ALAMOGORDO </t>
  </si>
  <si>
    <t>046</t>
  </si>
  <si>
    <t>000</t>
  </si>
  <si>
    <t>046-000</t>
  </si>
  <si>
    <t>D</t>
  </si>
  <si>
    <t>ACADEMY FOR TECH &amp; CLASSICS</t>
  </si>
  <si>
    <t>SANTA FE</t>
  </si>
  <si>
    <t>071</t>
  </si>
  <si>
    <t>024</t>
  </si>
  <si>
    <t>071-024</t>
  </si>
  <si>
    <t>LC</t>
  </si>
  <si>
    <t>x</t>
  </si>
  <si>
    <t>N</t>
  </si>
  <si>
    <t>ALBUQUERQUE</t>
  </si>
  <si>
    <t xml:space="preserve">ALBUQUERQUE  </t>
  </si>
  <si>
    <t>001</t>
  </si>
  <si>
    <t>001-000</t>
  </si>
  <si>
    <t>ACE LEADERSHIP</t>
  </si>
  <si>
    <t>749</t>
  </si>
  <si>
    <t>001-749</t>
  </si>
  <si>
    <t>1.000</t>
  </si>
  <si>
    <t>ACES TECHNICAL CHARTER SCHOOL</t>
  </si>
  <si>
    <t>579</t>
  </si>
  <si>
    <t>579-001</t>
  </si>
  <si>
    <t>SC</t>
  </si>
  <si>
    <t>ACE LEADERSHIP HIGH SCHOOL</t>
  </si>
  <si>
    <t>ALBUQUERQUE CHARTER ACADEMY</t>
  </si>
  <si>
    <t>090</t>
  </si>
  <si>
    <t>001-090</t>
  </si>
  <si>
    <t>AIMS @ UNM</t>
  </si>
  <si>
    <t>524</t>
  </si>
  <si>
    <t>524-001</t>
  </si>
  <si>
    <t>ABQ CHARTER ACADEMY</t>
  </si>
  <si>
    <t>THE ALBUQUERQUE TALENT AND DEVELOPMENT ACAD</t>
  </si>
  <si>
    <t>016</t>
  </si>
  <si>
    <t>001-016</t>
  </si>
  <si>
    <t>THE ALB TALENT DEVELOPMENT CHARTER</t>
  </si>
  <si>
    <t>ALICE KING COMMUNITY SCHOOL</t>
  </si>
  <si>
    <t>116</t>
  </si>
  <si>
    <t>001-116</t>
  </si>
  <si>
    <t>CHRISTINE DUNCAN COMMUNITY</t>
  </si>
  <si>
    <t>118</t>
  </si>
  <si>
    <t>001-118</t>
  </si>
  <si>
    <t>ALBUQUERQUE BILINGUAL ACADEMY</t>
  </si>
  <si>
    <t>528</t>
  </si>
  <si>
    <t>528-001</t>
  </si>
  <si>
    <t>CHRISTINE DUNCAN HERITAGE ACADEMY</t>
  </si>
  <si>
    <t>CIEN AGUAS INTERNATIONAL</t>
  </si>
  <si>
    <t>780</t>
  </si>
  <si>
    <t>001-780</t>
  </si>
  <si>
    <t>CORAL COMMUNITY</t>
  </si>
  <si>
    <t>706</t>
  </si>
  <si>
    <t>001-706</t>
  </si>
  <si>
    <t>ALBUQUERQUE COLLEGIATE</t>
  </si>
  <si>
    <t>574</t>
  </si>
  <si>
    <t>574-001</t>
  </si>
  <si>
    <t>CORAL COMMUNITY CHARTER</t>
  </si>
  <si>
    <t>CORRALES INTERNATIONAL</t>
  </si>
  <si>
    <t>028</t>
  </si>
  <si>
    <t>001-028</t>
  </si>
  <si>
    <t>ALBUQUERQUE SCHOOL OF EXCELLENCE</t>
  </si>
  <si>
    <t>516</t>
  </si>
  <si>
    <t>516-001</t>
  </si>
  <si>
    <t>COTTONWOOD CLASSICAL ST. CHARTER</t>
  </si>
  <si>
    <t>769</t>
  </si>
  <si>
    <t>001-769</t>
  </si>
  <si>
    <t>ALBUQUERQUE SIGN LANGUAGE</t>
  </si>
  <si>
    <t>517</t>
  </si>
  <si>
    <t>517-001</t>
  </si>
  <si>
    <t>COTTONWOOD CLASSICAL PREP</t>
  </si>
  <si>
    <t>DIGITAL ARTS &amp; TECH ACADEMY</t>
  </si>
  <si>
    <t>063</t>
  </si>
  <si>
    <t>001-063</t>
  </si>
  <si>
    <t>ALDO LEOPOLD ST. CHARTER</t>
  </si>
  <si>
    <t>SILVER CITY CONS.</t>
  </si>
  <si>
    <t>532</t>
  </si>
  <si>
    <t>532-001</t>
  </si>
  <si>
    <t>DIGITAL ARTS AND TECHNOLOGY ACADEMY</t>
  </si>
  <si>
    <t>EAST MOUNTAIN</t>
  </si>
  <si>
    <t>001-024</t>
  </si>
  <si>
    <t>EAST MOUNTAIN HIGH SCHOOL</t>
  </si>
  <si>
    <t>EL CAMINO REAL</t>
  </si>
  <si>
    <t>069</t>
  </si>
  <si>
    <t>001-069</t>
  </si>
  <si>
    <t>ALMA D' ARTE STATE CHARTER</t>
  </si>
  <si>
    <t>LAS CRUCES</t>
  </si>
  <si>
    <t>511</t>
  </si>
  <si>
    <t>511-001</t>
  </si>
  <si>
    <t>EL CAMINO REAL ACADEMY</t>
  </si>
  <si>
    <t>GILBERT L. SENA CHARTER</t>
  </si>
  <si>
    <t>707</t>
  </si>
  <si>
    <t>001-707</t>
  </si>
  <si>
    <t>ALTURA PREPARATORY SCHOOL</t>
  </si>
  <si>
    <t>575</t>
  </si>
  <si>
    <t>575-001</t>
  </si>
  <si>
    <t>GILBERT L SENA CHARTER HS</t>
  </si>
  <si>
    <t>GORDON BERNELL</t>
  </si>
  <si>
    <t>030</t>
  </si>
  <si>
    <t>001-030</t>
  </si>
  <si>
    <t>AMY BIEHL ST. CHARTER</t>
  </si>
  <si>
    <t>525</t>
  </si>
  <si>
    <t>525-001</t>
  </si>
  <si>
    <t>GORDON BERNELL CHARTER</t>
  </si>
  <si>
    <t>HEALTH LEADERSHIP CHARTER</t>
  </si>
  <si>
    <t>752</t>
  </si>
  <si>
    <t>001-752</t>
  </si>
  <si>
    <t>ANANSI CHARTER</t>
  </si>
  <si>
    <t>TAOS</t>
  </si>
  <si>
    <t>076</t>
  </si>
  <si>
    <t>006</t>
  </si>
  <si>
    <t>076-006</t>
  </si>
  <si>
    <t>HEALTH LEADERSHIP HIGH SCHOOL</t>
  </si>
  <si>
    <t>INT'L SCHOOL MESA DEL SOL ST. CHARTER</t>
  </si>
  <si>
    <t>781</t>
  </si>
  <si>
    <t>001-781</t>
  </si>
  <si>
    <t>ANIMAS</t>
  </si>
  <si>
    <t>030-000</t>
  </si>
  <si>
    <t>INTERNATIONAL SCHOOL AT MESA DEL SOL</t>
  </si>
  <si>
    <t>LA ACADEMIA DE ESPERANZA</t>
  </si>
  <si>
    <t>061</t>
  </si>
  <si>
    <t>001-061</t>
  </si>
  <si>
    <t>ARTESIA</t>
  </si>
  <si>
    <t>022</t>
  </si>
  <si>
    <t>022-000</t>
  </si>
  <si>
    <t>LOS PUENTES</t>
  </si>
  <si>
    <t>017</t>
  </si>
  <si>
    <t>001-017</t>
  </si>
  <si>
    <t>ASK ACADEMY ST. CHARTER</t>
  </si>
  <si>
    <t>RIO RANCHO</t>
  </si>
  <si>
    <t>520</t>
  </si>
  <si>
    <t>520-001</t>
  </si>
  <si>
    <t>LOS PUENTES CHARTER</t>
  </si>
  <si>
    <t>MONTESSORI OF THE RIO GRANDE</t>
  </si>
  <si>
    <t>095</t>
  </si>
  <si>
    <t>001-095</t>
  </si>
  <si>
    <t>AZTEC</t>
  </si>
  <si>
    <t>064</t>
  </si>
  <si>
    <t>064-000</t>
  </si>
  <si>
    <t>MARK ARMIJO ACADEMY</t>
  </si>
  <si>
    <t>039</t>
  </si>
  <si>
    <t>001-039</t>
  </si>
  <si>
    <t>MOUNTAIN MAHOGANY</t>
  </si>
  <si>
    <t>098</t>
  </si>
  <si>
    <t>001-098</t>
  </si>
  <si>
    <t>BELEN</t>
  </si>
  <si>
    <t>087</t>
  </si>
  <si>
    <t>087-000</t>
  </si>
  <si>
    <t>NATIVE AMERICAN COMM ACAD.</t>
  </si>
  <si>
    <t>001-006</t>
  </si>
  <si>
    <t>BERNALILLO</t>
  </si>
  <si>
    <t>061-000</t>
  </si>
  <si>
    <t>MOUNTAIN MAHOGANY COMMUNITY SCHOOL</t>
  </si>
  <si>
    <t>NEW AMERICA CHARTER SCHOOL</t>
  </si>
  <si>
    <t>708</t>
  </si>
  <si>
    <t>001-708</t>
  </si>
  <si>
    <t>BLOOMFIELD</t>
  </si>
  <si>
    <t>066</t>
  </si>
  <si>
    <t>066-000</t>
  </si>
  <si>
    <t>NATIVE AMERICAN COMMUNITY ACADEMY</t>
  </si>
  <si>
    <t>NEW MEXICO INTERNATIONAL</t>
  </si>
  <si>
    <t>768</t>
  </si>
  <si>
    <t>001-768</t>
  </si>
  <si>
    <t>CAPITAN</t>
  </si>
  <si>
    <t>040</t>
  </si>
  <si>
    <t>040-000</t>
  </si>
  <si>
    <t>NEW AMERICA SCHOOL</t>
  </si>
  <si>
    <t>MARK ARMIJO (NUESTROS VALORES)</t>
  </si>
  <si>
    <t>CARLSBAD</t>
  </si>
  <si>
    <t>020</t>
  </si>
  <si>
    <t>020-000</t>
  </si>
  <si>
    <t>NEW MEXICO INTERNATIONAL SCHOOL</t>
  </si>
  <si>
    <t>PAPA</t>
  </si>
  <si>
    <t>047</t>
  </si>
  <si>
    <t>001-047</t>
  </si>
  <si>
    <t>CARRIZOZO</t>
  </si>
  <si>
    <t>037</t>
  </si>
  <si>
    <t>037-000</t>
  </si>
  <si>
    <t>PUBLIC ACADEMY FOR PERFORMING ARTS</t>
  </si>
  <si>
    <t>ROBERT F. KENNEDY</t>
  </si>
  <si>
    <t>051</t>
  </si>
  <si>
    <t>001-051</t>
  </si>
  <si>
    <t>CENTRAL CONS.</t>
  </si>
  <si>
    <t>067</t>
  </si>
  <si>
    <t>067-000</t>
  </si>
  <si>
    <t>ROBERT F. KENNEDY CHARTER</t>
  </si>
  <si>
    <t>SIEMBRA LEADERSHIP HIGH SCHOOL</t>
  </si>
  <si>
    <t>750</t>
  </si>
  <si>
    <t>001-750</t>
  </si>
  <si>
    <t>CESAR CHAVEZ COMM. ST. CHARTER</t>
  </si>
  <si>
    <t>512</t>
  </si>
  <si>
    <t>512-001</t>
  </si>
  <si>
    <t>SOUTH VALLEY</t>
  </si>
  <si>
    <t>025</t>
  </si>
  <si>
    <t>001-025</t>
  </si>
  <si>
    <t>CHAMA VALLEY</t>
  </si>
  <si>
    <t>053</t>
  </si>
  <si>
    <t>053-000</t>
  </si>
  <si>
    <t>SOUTH VALLEY ACADEMY</t>
  </si>
  <si>
    <t>TECHNOLOGY LEADERSHIP</t>
  </si>
  <si>
    <t>753</t>
  </si>
  <si>
    <t>001-753</t>
  </si>
  <si>
    <t>TECHNOLOGY LEADERSHIP HIGH SCHOOL</t>
  </si>
  <si>
    <t>VOZ COLLEGIATE PREPARATORY CHARTER SCHOOL</t>
  </si>
  <si>
    <t>709</t>
  </si>
  <si>
    <t>001-709</t>
  </si>
  <si>
    <t>WILLIAM W &amp; JOSEPHINE DORN CHARTER</t>
  </si>
  <si>
    <t>782</t>
  </si>
  <si>
    <t>001-782</t>
  </si>
  <si>
    <t>CIMARRON</t>
  </si>
  <si>
    <t>008</t>
  </si>
  <si>
    <t>008-000</t>
  </si>
  <si>
    <t>ALBUQUERQUE W/CHARTERS</t>
  </si>
  <si>
    <t>-</t>
  </si>
  <si>
    <t>CLAYTON</t>
  </si>
  <si>
    <t>084</t>
  </si>
  <si>
    <t>084-000</t>
  </si>
  <si>
    <t>CLOUDCROFT</t>
  </si>
  <si>
    <t>048</t>
  </si>
  <si>
    <t>048-000</t>
  </si>
  <si>
    <t>CLOVIS</t>
  </si>
  <si>
    <t>012</t>
  </si>
  <si>
    <t>012-000</t>
  </si>
  <si>
    <t>COBRE CONS.</t>
  </si>
  <si>
    <t>024-000</t>
  </si>
  <si>
    <t>MOSAIC ACADEMY CHARTER</t>
  </si>
  <si>
    <t>064-001</t>
  </si>
  <si>
    <t>AZTEC W/CHARTERS</t>
  </si>
  <si>
    <t>CORONA</t>
  </si>
  <si>
    <t>038</t>
  </si>
  <si>
    <t>038-000</t>
  </si>
  <si>
    <t>COTTONWOOD VALLEY CHARTER</t>
  </si>
  <si>
    <t>SOCORRO</t>
  </si>
  <si>
    <t>074</t>
  </si>
  <si>
    <t>003</t>
  </si>
  <si>
    <t>074-003</t>
  </si>
  <si>
    <t>CUBA</t>
  </si>
  <si>
    <t>062</t>
  </si>
  <si>
    <t>062-000</t>
  </si>
  <si>
    <t>JEFFERSON MONTESSORI ACADEMY</t>
  </si>
  <si>
    <t>020-001</t>
  </si>
  <si>
    <t>DEAP</t>
  </si>
  <si>
    <t>GALLUP</t>
  </si>
  <si>
    <t>562</t>
  </si>
  <si>
    <t>562-001</t>
  </si>
  <si>
    <t>JEFFERSON MONT. ACAD.</t>
  </si>
  <si>
    <t>PECOS CONNECTIONS ACADEMY</t>
  </si>
  <si>
    <t>005</t>
  </si>
  <si>
    <t>020-005</t>
  </si>
  <si>
    <t>DEMING</t>
  </si>
  <si>
    <t>042</t>
  </si>
  <si>
    <t>042-000</t>
  </si>
  <si>
    <t>PECOS CONNECTIONS</t>
  </si>
  <si>
    <t>DEMING CESAR CHAVEZ</t>
  </si>
  <si>
    <t>042-006</t>
  </si>
  <si>
    <t>CARLSBAD W/CHARTERS</t>
  </si>
  <si>
    <t>DES MOINES</t>
  </si>
  <si>
    <t>085</t>
  </si>
  <si>
    <t>085-000</t>
  </si>
  <si>
    <t>DREAM DINE</t>
  </si>
  <si>
    <t>109</t>
  </si>
  <si>
    <t>067-109</t>
  </si>
  <si>
    <t>DEXTER</t>
  </si>
  <si>
    <t>006-000</t>
  </si>
  <si>
    <t>CHAMA</t>
  </si>
  <si>
    <t>DREAM DINE'</t>
  </si>
  <si>
    <t>DORA</t>
  </si>
  <si>
    <t>060</t>
  </si>
  <si>
    <t>060-000</t>
  </si>
  <si>
    <t>CENTRAL W/CHARTERS</t>
  </si>
  <si>
    <t>MORENO VALLEY HIGH</t>
  </si>
  <si>
    <t>008-003</t>
  </si>
  <si>
    <t>DULCE</t>
  </si>
  <si>
    <t>054</t>
  </si>
  <si>
    <t>054-000</t>
  </si>
  <si>
    <t>CIMARRON W/CHARTERS</t>
  </si>
  <si>
    <t>ELIDA</t>
  </si>
  <si>
    <t>058</t>
  </si>
  <si>
    <t>058-000</t>
  </si>
  <si>
    <t>ESPAÑOLA</t>
  </si>
  <si>
    <t>055</t>
  </si>
  <si>
    <t>055-000</t>
  </si>
  <si>
    <t>ESTANCIA</t>
  </si>
  <si>
    <t>080</t>
  </si>
  <si>
    <t>080-000</t>
  </si>
  <si>
    <t xml:space="preserve">ESTANCIA VALLEY </t>
  </si>
  <si>
    <t>MORIARTY</t>
  </si>
  <si>
    <t>550</t>
  </si>
  <si>
    <t>550-001</t>
  </si>
  <si>
    <t>EUNICE</t>
  </si>
  <si>
    <t>032</t>
  </si>
  <si>
    <t>032-000</t>
  </si>
  <si>
    <t xml:space="preserve">EXPLORE ACADEMY </t>
  </si>
  <si>
    <t>557</t>
  </si>
  <si>
    <t>557-001</t>
  </si>
  <si>
    <t>FARMINGTON</t>
  </si>
  <si>
    <t>065</t>
  </si>
  <si>
    <t>065-000</t>
  </si>
  <si>
    <t>FLOYD</t>
  </si>
  <si>
    <t>059</t>
  </si>
  <si>
    <t>059-000</t>
  </si>
  <si>
    <t>FT. SUMNER</t>
  </si>
  <si>
    <t>016-000</t>
  </si>
  <si>
    <t>DEMING W/CHARTERS</t>
  </si>
  <si>
    <t>GADSDEN</t>
  </si>
  <si>
    <t>019</t>
  </si>
  <si>
    <t>019-000</t>
  </si>
  <si>
    <t>ESPANOLA</t>
  </si>
  <si>
    <t>043</t>
  </si>
  <si>
    <t>043-000</t>
  </si>
  <si>
    <t>GRADY</t>
  </si>
  <si>
    <t>015</t>
  </si>
  <si>
    <t>015-000</t>
  </si>
  <si>
    <t>GRANTS</t>
  </si>
  <si>
    <t>088</t>
  </si>
  <si>
    <t>088-000</t>
  </si>
  <si>
    <t>FT SUMNER</t>
  </si>
  <si>
    <t>HAGERMAN</t>
  </si>
  <si>
    <t>005-000</t>
  </si>
  <si>
    <t>HATCH</t>
  </si>
  <si>
    <t>018</t>
  </si>
  <si>
    <t>018-000</t>
  </si>
  <si>
    <t>HOBBS</t>
  </si>
  <si>
    <t>033</t>
  </si>
  <si>
    <t>033-000</t>
  </si>
  <si>
    <t>HONDO</t>
  </si>
  <si>
    <t>039-000</t>
  </si>
  <si>
    <t xml:space="preserve">HORIZON ACADEMY WEST ST. CHARTER </t>
  </si>
  <si>
    <t>503</t>
  </si>
  <si>
    <t>503-001</t>
  </si>
  <si>
    <t>HOUSE</t>
  </si>
  <si>
    <t>050</t>
  </si>
  <si>
    <t>050-000</t>
  </si>
  <si>
    <t xml:space="preserve">HOZHO ACADEMY </t>
  </si>
  <si>
    <t>573</t>
  </si>
  <si>
    <t>573-001</t>
  </si>
  <si>
    <t xml:space="preserve">J. PAUL TAYLOR ACADEMY </t>
  </si>
  <si>
    <t>535</t>
  </si>
  <si>
    <t>535-001</t>
  </si>
  <si>
    <t>JAL</t>
  </si>
  <si>
    <t>034</t>
  </si>
  <si>
    <t>034-000</t>
  </si>
  <si>
    <t>JEMEZ MOUNTAIN</t>
  </si>
  <si>
    <t>056</t>
  </si>
  <si>
    <t>056-000</t>
  </si>
  <si>
    <t>JEMEZ VALLEY</t>
  </si>
  <si>
    <t>063-000</t>
  </si>
  <si>
    <t>SAN DIEGO RIVERSIDE CHARTER</t>
  </si>
  <si>
    <t>004</t>
  </si>
  <si>
    <t>063-004</t>
  </si>
  <si>
    <t>LAKE ARTHUR</t>
  </si>
  <si>
    <t>007</t>
  </si>
  <si>
    <t>007-000</t>
  </si>
  <si>
    <t>017-000</t>
  </si>
  <si>
    <t xml:space="preserve">LA ACADEMIA DOLORES HUERTA </t>
  </si>
  <si>
    <t>560</t>
  </si>
  <si>
    <t>560-001</t>
  </si>
  <si>
    <t>LAS VEGAS CITY</t>
  </si>
  <si>
    <t>069-000</t>
  </si>
  <si>
    <t xml:space="preserve">LA TIERRA MONTESSORI </t>
  </si>
  <si>
    <t>546</t>
  </si>
  <si>
    <t>546-001</t>
  </si>
  <si>
    <t>LOGAN</t>
  </si>
  <si>
    <t>051-000</t>
  </si>
  <si>
    <t>LORDSBURG</t>
  </si>
  <si>
    <t>029</t>
  </si>
  <si>
    <t>029-000</t>
  </si>
  <si>
    <t>JEMEZ VALLEY W/CHARTER</t>
  </si>
  <si>
    <t>LOS ALAMOS</t>
  </si>
  <si>
    <t>041</t>
  </si>
  <si>
    <t>041-000</t>
  </si>
  <si>
    <t xml:space="preserve">LAS MONTANAS </t>
  </si>
  <si>
    <t>567</t>
  </si>
  <si>
    <t>567-001</t>
  </si>
  <si>
    <t>LOS LUNAS</t>
  </si>
  <si>
    <t>086</t>
  </si>
  <si>
    <t>086-000</t>
  </si>
  <si>
    <t>LOVING</t>
  </si>
  <si>
    <t>021</t>
  </si>
  <si>
    <t>021-000</t>
  </si>
  <si>
    <t>LOVINGTON</t>
  </si>
  <si>
    <t>031</t>
  </si>
  <si>
    <t>031-000</t>
  </si>
  <si>
    <t>MAGDALENA</t>
  </si>
  <si>
    <t>075</t>
  </si>
  <si>
    <t>075-000</t>
  </si>
  <si>
    <t>MAXWELL</t>
  </si>
  <si>
    <t>011</t>
  </si>
  <si>
    <t>011-000</t>
  </si>
  <si>
    <t>MELROSE</t>
  </si>
  <si>
    <t>014</t>
  </si>
  <si>
    <t>014-000</t>
  </si>
  <si>
    <t>MESA VISTA</t>
  </si>
  <si>
    <t>078</t>
  </si>
  <si>
    <t>078-000</t>
  </si>
  <si>
    <t>MORA</t>
  </si>
  <si>
    <t>044</t>
  </si>
  <si>
    <t>044-000</t>
  </si>
  <si>
    <t>MORIARTY-EDGEWOOD</t>
  </si>
  <si>
    <t>081</t>
  </si>
  <si>
    <t>081-000</t>
  </si>
  <si>
    <t>MOSQUERO</t>
  </si>
  <si>
    <t>028-000</t>
  </si>
  <si>
    <t>MOUNTAINAIR</t>
  </si>
  <si>
    <t>082</t>
  </si>
  <si>
    <t>082-000</t>
  </si>
  <si>
    <t xml:space="preserve">MASTERS PROGRAM ST. CHARTER </t>
  </si>
  <si>
    <t>519</t>
  </si>
  <si>
    <t>519-001</t>
  </si>
  <si>
    <t>PECOS</t>
  </si>
  <si>
    <t>070</t>
  </si>
  <si>
    <t>070-000</t>
  </si>
  <si>
    <t>PENASCO</t>
  </si>
  <si>
    <t>077</t>
  </si>
  <si>
    <t>077-000</t>
  </si>
  <si>
    <t xml:space="preserve">MCCURDY CHARTER SCHOOL </t>
  </si>
  <si>
    <t>547</t>
  </si>
  <si>
    <t>547-001</t>
  </si>
  <si>
    <t>POJOAQUE</t>
  </si>
  <si>
    <t>072</t>
  </si>
  <si>
    <t>072-000</t>
  </si>
  <si>
    <t xml:space="preserve">MEDIA ARTS COLLAB. ST. CHARTER </t>
  </si>
  <si>
    <t>501</t>
  </si>
  <si>
    <t>501-001</t>
  </si>
  <si>
    <t>PORTALES</t>
  </si>
  <si>
    <t>057</t>
  </si>
  <si>
    <t>057-000</t>
  </si>
  <si>
    <t>QUEMADO</t>
  </si>
  <si>
    <t>003-000</t>
  </si>
  <si>
    <t>QUESTA</t>
  </si>
  <si>
    <t>079</t>
  </si>
  <si>
    <t>079-000</t>
  </si>
  <si>
    <t xml:space="preserve">MIDDLE COLLEGE HIGH </t>
  </si>
  <si>
    <t>578</t>
  </si>
  <si>
    <t>578-001</t>
  </si>
  <si>
    <t>RATON</t>
  </si>
  <si>
    <t>009</t>
  </si>
  <si>
    <t>009-000</t>
  </si>
  <si>
    <t xml:space="preserve">MISSION ACHIEVEMENT &amp; SUCCESS-MAS </t>
  </si>
  <si>
    <t>542</t>
  </si>
  <si>
    <t>542-001</t>
  </si>
  <si>
    <t>PEÑASCO</t>
  </si>
  <si>
    <t>RESERVE</t>
  </si>
  <si>
    <t>002</t>
  </si>
  <si>
    <t>002-000</t>
  </si>
  <si>
    <t xml:space="preserve">MONTE DEL SOL </t>
  </si>
  <si>
    <t>564</t>
  </si>
  <si>
    <t>564-001</t>
  </si>
  <si>
    <t>083</t>
  </si>
  <si>
    <t>083-000</t>
  </si>
  <si>
    <t xml:space="preserve">MONTESSORI ELEMENTARY ST. CHARTER </t>
  </si>
  <si>
    <t>529</t>
  </si>
  <si>
    <t>529-001</t>
  </si>
  <si>
    <t>ROSWELL</t>
  </si>
  <si>
    <t>004-000</t>
  </si>
  <si>
    <t>SIDNEY GUTIERREZ MIDDLE</t>
  </si>
  <si>
    <t>004-009</t>
  </si>
  <si>
    <t>ROY</t>
  </si>
  <si>
    <t>027</t>
  </si>
  <si>
    <t>027-000</t>
  </si>
  <si>
    <t>RUIDOSO</t>
  </si>
  <si>
    <t>036</t>
  </si>
  <si>
    <t>036-000</t>
  </si>
  <si>
    <t>SAN JON</t>
  </si>
  <si>
    <t>052</t>
  </si>
  <si>
    <t>052-000</t>
  </si>
  <si>
    <t>071-000</t>
  </si>
  <si>
    <t>ACADEMY FOR TECHNOLOGY &amp; CLASSICS</t>
  </si>
  <si>
    <t>SIDNEY GUTIERREZ</t>
  </si>
  <si>
    <t>SANTA ROSA</t>
  </si>
  <si>
    <t>025-000</t>
  </si>
  <si>
    <t>ROSWELL W/CHARTER</t>
  </si>
  <si>
    <t>SILVER CITY</t>
  </si>
  <si>
    <t>023</t>
  </si>
  <si>
    <t>023-000</t>
  </si>
  <si>
    <t>074-000</t>
  </si>
  <si>
    <t>NEW AMERICA SCHOOL - LAS CRUCES</t>
  </si>
  <si>
    <t>549</t>
  </si>
  <si>
    <t>549-001</t>
  </si>
  <si>
    <t>SPRINGER</t>
  </si>
  <si>
    <t>010</t>
  </si>
  <si>
    <t>010-000</t>
  </si>
  <si>
    <t>NEW MEXICO CONNECTIONS ACADEMY</t>
  </si>
  <si>
    <t>554</t>
  </si>
  <si>
    <t>554-001</t>
  </si>
  <si>
    <t>076-000</t>
  </si>
  <si>
    <t>ANANSI CHARTER SCHOOL</t>
  </si>
  <si>
    <t xml:space="preserve">NEW MEXICO SCHOOL FOR THE ARTS  ST. CH </t>
  </si>
  <si>
    <t>509</t>
  </si>
  <si>
    <t>509-001</t>
  </si>
  <si>
    <t>SANTA FE W/CHARTERS</t>
  </si>
  <si>
    <t>TAOS MUNICIPAL CHARTER</t>
  </si>
  <si>
    <t>076-005</t>
  </si>
  <si>
    <t xml:space="preserve">NORTH VALLEY ACADEMY ST. CHARTER </t>
  </si>
  <si>
    <t>504</t>
  </si>
  <si>
    <t>504-001</t>
  </si>
  <si>
    <t>VISTA GRANDE HIGH SCHOOL</t>
  </si>
  <si>
    <t>076-012</t>
  </si>
  <si>
    <t>TATUM</t>
  </si>
  <si>
    <t>035</t>
  </si>
  <si>
    <t>035-000</t>
  </si>
  <si>
    <t>TEXICO</t>
  </si>
  <si>
    <t>013</t>
  </si>
  <si>
    <t>013-000</t>
  </si>
  <si>
    <t>TRUTH OR CONS.</t>
  </si>
  <si>
    <t>073</t>
  </si>
  <si>
    <t>073-000</t>
  </si>
  <si>
    <t>SOCORRO W/CHARTERS</t>
  </si>
  <si>
    <t>TUCUMCARI</t>
  </si>
  <si>
    <t>049</t>
  </si>
  <si>
    <t>049-000</t>
  </si>
  <si>
    <t>TULAROSA</t>
  </si>
  <si>
    <t>047-000</t>
  </si>
  <si>
    <t>VAUGHN</t>
  </si>
  <si>
    <t>026</t>
  </si>
  <si>
    <t>026-000</t>
  </si>
  <si>
    <t>WAGON MOUND</t>
  </si>
  <si>
    <t>045</t>
  </si>
  <si>
    <t>045-000</t>
  </si>
  <si>
    <t>WEST LAS VEGAS</t>
  </si>
  <si>
    <t>068</t>
  </si>
  <si>
    <t>068-000</t>
  </si>
  <si>
    <t xml:space="preserve">RAICES DEL SABER XINACHTLI </t>
  </si>
  <si>
    <t>577</t>
  </si>
  <si>
    <t>577-001</t>
  </si>
  <si>
    <t>VISTA GRANDE</t>
  </si>
  <si>
    <t>RIO GALLINAS SCHOOL</t>
  </si>
  <si>
    <t>068-004</t>
  </si>
  <si>
    <t>TAOS W/CHARTER</t>
  </si>
  <si>
    <t>ZUNI</t>
  </si>
  <si>
    <t>089</t>
  </si>
  <si>
    <t>089-000</t>
  </si>
  <si>
    <t xml:space="preserve">RED RIVER VALLEY </t>
  </si>
  <si>
    <t>539</t>
  </si>
  <si>
    <t>539-001</t>
  </si>
  <si>
    <t>21st CENTURY PUBLIC ACADEMY</t>
  </si>
  <si>
    <t>580</t>
  </si>
  <si>
    <t>580-001</t>
  </si>
  <si>
    <t>RIO GALLINAS CHARTER SCHOOL</t>
  </si>
  <si>
    <t>TRUTH OR CONSEQ.</t>
  </si>
  <si>
    <t>ALBUQUERQUE INSTITUTE OF MATH &amp; SCIENCE</t>
  </si>
  <si>
    <t>ALBUQUERQUE COLLEGIATE CHARTER SCHOOL</t>
  </si>
  <si>
    <t>ROOTS  &amp; WINGS</t>
  </si>
  <si>
    <t>570</t>
  </si>
  <si>
    <t>570-001</t>
  </si>
  <si>
    <t>ABQ SCHOOL OF EXCELLENCE</t>
  </si>
  <si>
    <t>ABQ SIGN LANGUAGE ACADEMY</t>
  </si>
  <si>
    <t>ALDO LEOPOLD CHARTER</t>
  </si>
  <si>
    <t>ALMA D'ARTE CHARTER</t>
  </si>
  <si>
    <t>WEST LAS VEGAS W/CHARTER</t>
  </si>
  <si>
    <t>AMY BIEHL CHARTER HIGH SCHOOL</t>
  </si>
  <si>
    <t xml:space="preserve">SANDOVAL ACADEMY OF BIL ED SABE </t>
  </si>
  <si>
    <t>563</t>
  </si>
  <si>
    <t>563-001</t>
  </si>
  <si>
    <t>STATE CHARTERS</t>
  </si>
  <si>
    <t>CESAR CHAVEZ COMMUNITY SCHOOL</t>
  </si>
  <si>
    <t>Y</t>
  </si>
  <si>
    <t>ESTANCIA VALLEY CLASSICAL ACADEMY</t>
  </si>
  <si>
    <t xml:space="preserve">SCHOOL OF DREAMS ST. CHARTER </t>
  </si>
  <si>
    <t>505</t>
  </si>
  <si>
    <t>505-001</t>
  </si>
  <si>
    <t>EXPLORE ACADEMY</t>
  </si>
  <si>
    <t>EXPLORE ACADEMY - LAS CRUCES</t>
  </si>
  <si>
    <t>HORIZON ACADEMY WEST</t>
  </si>
  <si>
    <t>HOZHO ACADEMY</t>
  </si>
  <si>
    <t xml:space="preserve">SIX DIRECTIONS </t>
  </si>
  <si>
    <t>568</t>
  </si>
  <si>
    <t>568-001</t>
  </si>
  <si>
    <t>J PAUL TAYLOR ACADEMY</t>
  </si>
  <si>
    <t>LA ACADEMIA DOLORES HUERTA</t>
  </si>
  <si>
    <t xml:space="preserve">SOLARE COLLEGIATE </t>
  </si>
  <si>
    <t>576</t>
  </si>
  <si>
    <t>576-001</t>
  </si>
  <si>
    <t>LA TIERRA MONTESSORI SCHOOL</t>
  </si>
  <si>
    <t>LAS MONTANAS CHARTER</t>
  </si>
  <si>
    <t xml:space="preserve">SOUTH VALLEY PREP ST. CHARTER </t>
  </si>
  <si>
    <t>515</t>
  </si>
  <si>
    <t>515-001</t>
  </si>
  <si>
    <t>MCCURDY CHARTER SCHOOL</t>
  </si>
  <si>
    <t xml:space="preserve">SOUTHWEST PREPATORY LEARNING CENTER </t>
  </si>
  <si>
    <t>530</t>
  </si>
  <si>
    <t>530-001</t>
  </si>
  <si>
    <t>MEDIA ARTS COLLABORATIVE CHARTER</t>
  </si>
  <si>
    <t xml:space="preserve">SOUTHWEST SECONDARY LEARNING CENTER </t>
  </si>
  <si>
    <t>531</t>
  </si>
  <si>
    <t>531-001</t>
  </si>
  <si>
    <t>MIDDLE COLLEGE HIGH SCHOOL</t>
  </si>
  <si>
    <t>MISSION ACHIEVEMENT AND SUCCESS</t>
  </si>
  <si>
    <t>SW AERONAUTICS, MATHEMATICS AND SCIENCE ACADEMY</t>
  </si>
  <si>
    <t>544</t>
  </si>
  <si>
    <t>544-001</t>
  </si>
  <si>
    <t>MONTE DEL SOL CHARTER</t>
  </si>
  <si>
    <t>MONTESSORI ELEMENTARY SCHOOL</t>
  </si>
  <si>
    <t xml:space="preserve">EXPLORE ACADEMY - LAS CRUCES </t>
  </si>
  <si>
    <t>581-001</t>
  </si>
  <si>
    <t>TAOS ACADEMY</t>
  </si>
  <si>
    <t>510</t>
  </si>
  <si>
    <t>510-001</t>
  </si>
  <si>
    <t xml:space="preserve">TAOS INTEGRATED SCHOOL OF ARTS ST. </t>
  </si>
  <si>
    <t>521</t>
  </si>
  <si>
    <t>521-001</t>
  </si>
  <si>
    <t xml:space="preserve">TAOS INTERNATIONAL </t>
  </si>
  <si>
    <t>555</t>
  </si>
  <si>
    <t>555-001</t>
  </si>
  <si>
    <t>NM SCHOOL FOR THE ARTS</t>
  </si>
  <si>
    <t>NORTH VALLEY ACADEMY</t>
  </si>
  <si>
    <t>RAICES DEL SABER XINACHTLI COMMUNITY</t>
  </si>
  <si>
    <t>RED RIVER VALLEY CHARTER SCHOOL</t>
  </si>
  <si>
    <t>ROOTS &amp; WINGS COMMUNITY</t>
  </si>
  <si>
    <t>SANDOVAL ACADEMY OF BILINGUAL EDUCATION</t>
  </si>
  <si>
    <t xml:space="preserve">THE GREAT ACADEMY </t>
  </si>
  <si>
    <t>536</t>
  </si>
  <si>
    <t>536-001</t>
  </si>
  <si>
    <t>SCHOOL OF DREAMS ACADEMY</t>
  </si>
  <si>
    <t xml:space="preserve">TIERRA ADENTRO ST. CHARTER </t>
  </si>
  <si>
    <t>518</t>
  </si>
  <si>
    <t>518-001</t>
  </si>
  <si>
    <t>SIX DIRECTIONS INDIGENOUS SCHOOL</t>
  </si>
  <si>
    <t xml:space="preserve">TIERRA ENCANTADA CHARTER </t>
  </si>
  <si>
    <t>565</t>
  </si>
  <si>
    <t>565-001</t>
  </si>
  <si>
    <t>SOLARE COLLEGIATE CHARTER SCHOOL</t>
  </si>
  <si>
    <t xml:space="preserve">MONTESSORI ELEMEMTARY ST. CHARTER </t>
  </si>
  <si>
    <t>SOUTH VALLEY PREP</t>
  </si>
  <si>
    <t>SW AERONAUTICS MATHEMATICS AND SCIENCE</t>
  </si>
  <si>
    <t>SOUTHWEST PREPARATORY LEARNING CENTER</t>
  </si>
  <si>
    <t>TURQUOISE TRAIL ELEMENTARY</t>
  </si>
  <si>
    <t>566</t>
  </si>
  <si>
    <t>566-001</t>
  </si>
  <si>
    <t>SOUTHWEST SECONDARY LEARNING CENTER</t>
  </si>
  <si>
    <t>Twenty First Century (21st CENTURY PUBLIC ACADEMY)</t>
  </si>
  <si>
    <t>TAOS INTEGRATED SCHOOL OF ARTS</t>
  </si>
  <si>
    <t>TAOS INTERNATIONAL SCHOOL</t>
  </si>
  <si>
    <t>THE ASK ACADEMY</t>
  </si>
  <si>
    <t>WALATOWA CHARTER HIGH SCHOOL</t>
  </si>
  <si>
    <t>552</t>
  </si>
  <si>
    <t>552-001</t>
  </si>
  <si>
    <t>THE GREAT ACADEMY</t>
  </si>
  <si>
    <t>THE MASTERS PROGRAM</t>
  </si>
  <si>
    <t>TIERRA ADENTRO</t>
  </si>
  <si>
    <t>TIERRA ENCANTADA CHARTER SCHOOL</t>
  </si>
  <si>
    <t>TURQUOISE TRAIL CHARTER SCHOOL</t>
  </si>
  <si>
    <t>WALATOWA CHARTER HIGH</t>
  </si>
  <si>
    <t>STATEWIDE</t>
  </si>
  <si>
    <t>COMMENTS</t>
  </si>
  <si>
    <t>Fields in 910B-5</t>
  </si>
  <si>
    <t>District/Charter</t>
  </si>
  <si>
    <t>County / Counties</t>
  </si>
  <si>
    <t>Sort_Number</t>
  </si>
  <si>
    <t>Sort_Alpha</t>
  </si>
  <si>
    <t>Search</t>
  </si>
  <si>
    <t>Frequency</t>
  </si>
  <si>
    <t>Final List</t>
  </si>
  <si>
    <t>Otero</t>
  </si>
  <si>
    <t>Bernalillo/Sandoval</t>
  </si>
  <si>
    <t>Hidalgo</t>
  </si>
  <si>
    <t>Eddy/Chaves</t>
  </si>
  <si>
    <t>San Juan</t>
  </si>
  <si>
    <t>Valencia/Socorro</t>
  </si>
  <si>
    <t>Sandoval</t>
  </si>
  <si>
    <t>Lincoln</t>
  </si>
  <si>
    <t>Eddy</t>
  </si>
  <si>
    <t>Lincoln/Socorro</t>
  </si>
  <si>
    <t>Rio Arriba</t>
  </si>
  <si>
    <t>Colfax</t>
  </si>
  <si>
    <t>Union</t>
  </si>
  <si>
    <t>Curry</t>
  </si>
  <si>
    <t>Grant</t>
  </si>
  <si>
    <t>Lincoln/Socorro/Torrance</t>
  </si>
  <si>
    <t>Luna</t>
  </si>
  <si>
    <t>Union/Colfax</t>
  </si>
  <si>
    <t>Chaves</t>
  </si>
  <si>
    <t>Roosevelt</t>
  </si>
  <si>
    <t>Roosevelt/Chaves</t>
  </si>
  <si>
    <t>Rio Arriba/Santa Fe</t>
  </si>
  <si>
    <t>Torrance</t>
  </si>
  <si>
    <t>Lea</t>
  </si>
  <si>
    <t>De Baca</t>
  </si>
  <si>
    <t>Dona Ana/Otero/Anthony</t>
  </si>
  <si>
    <t>McKinley</t>
  </si>
  <si>
    <t>Curry/Quay</t>
  </si>
  <si>
    <t>Cibola</t>
  </si>
  <si>
    <t>Dona Ana</t>
  </si>
  <si>
    <t>Quay/Roosevelt</t>
  </si>
  <si>
    <t>Don Ana</t>
  </si>
  <si>
    <t>San Miguel/Mora</t>
  </si>
  <si>
    <t>Quay/Harding</t>
  </si>
  <si>
    <t>Los Alamos</t>
  </si>
  <si>
    <t>Valencia</t>
  </si>
  <si>
    <t>Socorro</t>
  </si>
  <si>
    <t>Curry/Roosevelt/Quay</t>
  </si>
  <si>
    <t>Taos/Rio Arriba</t>
  </si>
  <si>
    <t>Mora</t>
  </si>
  <si>
    <t>Torrance/Bernalillo/Santa Fe</t>
  </si>
  <si>
    <t>Harding</t>
  </si>
  <si>
    <t>Torrance/Socorro</t>
  </si>
  <si>
    <t>San Miguel</t>
  </si>
  <si>
    <t>Santa Fe</t>
  </si>
  <si>
    <t>Catron/Cibola</t>
  </si>
  <si>
    <t>Taos</t>
  </si>
  <si>
    <t>Catron</t>
  </si>
  <si>
    <t>Quay</t>
  </si>
  <si>
    <t>Guadalupe/San Miguel</t>
  </si>
  <si>
    <t>Colfax/Union</t>
  </si>
  <si>
    <t>Lea/Chaves</t>
  </si>
  <si>
    <t>Curry/Roosevelt</t>
  </si>
  <si>
    <t>Sierra</t>
  </si>
  <si>
    <t>Guadalupe/Torrance</t>
  </si>
  <si>
    <t>Bernalillo</t>
  </si>
  <si>
    <t>Mckinley</t>
  </si>
  <si>
    <t>ESTANCIA VALLEY</t>
  </si>
  <si>
    <t>HORIZON ACADEMY WEST ST. CHARTER</t>
  </si>
  <si>
    <t>J. PAUL TAYLOR ACADEMY</t>
  </si>
  <si>
    <t>LA TIERRA MONTESSORI</t>
  </si>
  <si>
    <t>LAS MONTANAS</t>
  </si>
  <si>
    <t>MASTERS PROGRAM ST. CHARTER</t>
  </si>
  <si>
    <t>MEDIA ARTS COLLAB. ST. CHARTER</t>
  </si>
  <si>
    <t>MIDDLE COLLEGE HIGH</t>
  </si>
  <si>
    <t>MISSION ACHIEVEMENT &amp; SUCCESS-MAS</t>
  </si>
  <si>
    <t>MONTE DEL SOL</t>
  </si>
  <si>
    <t>MONTESSORI ELEMEMTARY ST. CHARTER</t>
  </si>
  <si>
    <t>NEW MEXICO SCHOOL FOR THE ARTS ST. CH</t>
  </si>
  <si>
    <t>NORTH VALLEY ACADEMY ST. CHARTER</t>
  </si>
  <si>
    <t>RAICES DEL SABER XINACHTLI</t>
  </si>
  <si>
    <t>RED RIVER VALLEY</t>
  </si>
  <si>
    <t>ROOTS &amp; WINGS</t>
  </si>
  <si>
    <t>SANDOVAL ACADEMY OF BIL ED SABE</t>
  </si>
  <si>
    <t>SCHOOL OF DREAMS ST. CHARTER</t>
  </si>
  <si>
    <t>SIX DIRECTIONS</t>
  </si>
  <si>
    <t>SOLARE COLLEGIATE</t>
  </si>
  <si>
    <t>SOUTH VALLEY PREP ST. CHARTER</t>
  </si>
  <si>
    <t>SOUTHWEST PREPATORY LEARNING CENTER</t>
  </si>
  <si>
    <t>TAOS INTEGRATED SCHOOL OF ARTS ST.</t>
  </si>
  <si>
    <t>TAOS INTERNATIONAL</t>
  </si>
  <si>
    <t>TIERRA ADENTRO ST. CHARTER</t>
  </si>
  <si>
    <t>TIERRA ENCANTADA CHARTER</t>
  </si>
  <si>
    <t>2020-2021 Second Reporting Period (80D) DATA ENTRY</t>
  </si>
  <si>
    <t>2020-2021 Third Reporting Period (120D) DATA ENTRY</t>
  </si>
  <si>
    <t>80D</t>
  </si>
  <si>
    <t>120D</t>
  </si>
  <si>
    <t>Entity</t>
  </si>
  <si>
    <t>Ped No</t>
  </si>
  <si>
    <t>C &amp;</t>
  </si>
  <si>
    <t>D &amp;</t>
  </si>
  <si>
    <t>GRADE</t>
  </si>
  <si>
    <t>3Y DD</t>
  </si>
  <si>
    <t>4Y DD</t>
  </si>
  <si>
    <t>C-GIFTED</t>
  </si>
  <si>
    <t>D-GIFTED</t>
  </si>
  <si>
    <t>*BASIC</t>
  </si>
  <si>
    <t>TOTAL</t>
  </si>
  <si>
    <t>Kindergarten Program:</t>
  </si>
  <si>
    <t>ECE/KN</t>
  </si>
  <si>
    <t>FDK</t>
  </si>
  <si>
    <t>Basic Program:</t>
  </si>
  <si>
    <t>Grade  1</t>
  </si>
  <si>
    <t>Grade  2</t>
  </si>
  <si>
    <t>Grade  3</t>
  </si>
  <si>
    <t>Grade  4</t>
  </si>
  <si>
    <t>Grade  5</t>
  </si>
  <si>
    <t>Grade  6</t>
  </si>
  <si>
    <t>Grade  7</t>
  </si>
  <si>
    <t>Grade  8</t>
  </si>
  <si>
    <t>Grade  9</t>
  </si>
  <si>
    <t>Grade 10</t>
  </si>
  <si>
    <t>Grade 11</t>
  </si>
  <si>
    <t>Grade 12</t>
  </si>
  <si>
    <t>Totals</t>
  </si>
  <si>
    <t>*INCLUDE STUDENTS RECEIVING A/B SERVICES</t>
  </si>
  <si>
    <t>ECE FTE</t>
  </si>
  <si>
    <t>TOTAL GRADES 1-12</t>
  </si>
  <si>
    <t>SUBTOTAL MEM</t>
  </si>
  <si>
    <t>Charter School Mem (for District size calculations)</t>
  </si>
  <si>
    <t xml:space="preserve"> </t>
  </si>
  <si>
    <t>TOTAL MEM</t>
  </si>
  <si>
    <t xml:space="preserve">D LEVEL 3Y-4Y </t>
  </si>
  <si>
    <t>A/B MEM (Reg/Gifted)</t>
  </si>
  <si>
    <t>Bilingual Program:</t>
  </si>
  <si>
    <t>(Includes 3Y-4Y A/B)</t>
  </si>
  <si>
    <t>HOURS</t>
  </si>
  <si>
    <t>MEM</t>
  </si>
  <si>
    <t xml:space="preserve">      TOTAL Ancillary  FTE</t>
  </si>
  <si>
    <t>Elementary Fine Arts Program:</t>
  </si>
  <si>
    <t>Total Bilingual</t>
  </si>
  <si>
    <t>Districts ONLY</t>
  </si>
  <si>
    <t>Charter Schools Student Activities</t>
  </si>
  <si>
    <t>Home School Student Activities</t>
  </si>
  <si>
    <t>Home School Student Program</t>
  </si>
  <si>
    <t># of Students</t>
  </si>
  <si>
    <t># of Classes</t>
  </si>
  <si>
    <t>Extended Learning Time Program</t>
  </si>
  <si>
    <t>K-5 Plus Program</t>
  </si>
  <si>
    <t>ELEMENTARY/MIDDLE SCHOOL/JUNIOR HIGH</t>
  </si>
  <si>
    <t>SCHOOL NAME</t>
  </si>
  <si>
    <t>CODE</t>
  </si>
  <si>
    <t>GRADES</t>
  </si>
  <si>
    <t>SENIOR HIGH SCHOOL</t>
  </si>
  <si>
    <t>2020-2021 80/120 AVERAGE TO COMPUTE THE</t>
  </si>
  <si>
    <t>2021-2022 SEG REVENUE ESTIMATE WORKSHEET</t>
  </si>
  <si>
    <t>FTE</t>
  </si>
  <si>
    <t>Adjusted Ancillary  FTE</t>
  </si>
  <si>
    <t>UNITS</t>
  </si>
  <si>
    <t>TOTAL ELEMENTARY/MIDDLE SCHOOL/JUNIOR HIGH UNITS</t>
  </si>
  <si>
    <t>TOTAL SENIOR HIGH SCHOOL UNITS</t>
  </si>
  <si>
    <t>Type</t>
  </si>
  <si>
    <t>School District Geo. Location</t>
  </si>
  <si>
    <t>Is this a Charter School?  Please enter Y or N</t>
  </si>
  <si>
    <t>Is this for the 40th Day? Please enter Y or N.</t>
  </si>
  <si>
    <t>COST</t>
  </si>
  <si>
    <t>PROGRAM</t>
  </si>
  <si>
    <t>INDEX</t>
  </si>
  <si>
    <t>Kindergarten Program</t>
  </si>
  <si>
    <t>3Y4YDD/KN</t>
  </si>
  <si>
    <t/>
  </si>
  <si>
    <t>Basic Program</t>
  </si>
  <si>
    <t>ECE (KN,3Y4YDD,&amp;FDK) FTE</t>
  </si>
  <si>
    <t>Kindergarten Units</t>
  </si>
  <si>
    <t>Basic Program Units</t>
  </si>
  <si>
    <t>TOTAL MEMBERSHIP PROGRAM UNITS</t>
  </si>
  <si>
    <t>Staffing Cost Multiplier</t>
  </si>
  <si>
    <t>FY22 SCM PHASE-IN WEIGHTS</t>
  </si>
  <si>
    <t>T &amp; E Index</t>
  </si>
  <si>
    <t>TCI Index</t>
  </si>
  <si>
    <t>STAFFING COST MULTIPLIER (SCM)</t>
  </si>
  <si>
    <t>ADJUSTED BASIC PROGRAM UNITS</t>
  </si>
  <si>
    <t>Special Education</t>
  </si>
  <si>
    <t>Factor</t>
  </si>
  <si>
    <t>Units</t>
  </si>
  <si>
    <t>C &amp; C-Gifted</t>
  </si>
  <si>
    <t>D &amp; D-Gifted</t>
  </si>
  <si>
    <t>3 &amp; 4 Yr. DD</t>
  </si>
  <si>
    <t>A/B MEM (Reg/Gft &amp; Inc 3Y&amp;4Y-12th)</t>
  </si>
  <si>
    <t>Special Ed. Units</t>
  </si>
  <si>
    <t>Ancillary FTE Units</t>
  </si>
  <si>
    <t>TOTAL SPECIAL EDUCATION UNITS</t>
  </si>
  <si>
    <t>Elementary Fine Arts Program (separated data entry: 80/120 average data, projection for new program (parts))</t>
  </si>
  <si>
    <t>80/120 ave MEM</t>
  </si>
  <si>
    <t>New FAEA Prog. MEM</t>
  </si>
  <si>
    <t>FINE ARTS PROGRAM UNITS</t>
  </si>
  <si>
    <t>Bilingual Program (separated data entry: 80/120 average data, projection for new program (parts))</t>
  </si>
  <si>
    <t>New BMEP Prog. MEM</t>
  </si>
  <si>
    <t>BILINGUAL UNITS</t>
  </si>
  <si>
    <t>(May not total more than the no. of students in grades K-12.)</t>
  </si>
  <si>
    <t>Elementary P.E. Program (separated data entry: 80/120 average data, projection for new program (parts))</t>
  </si>
  <si>
    <t>Elem PE MEM</t>
  </si>
  <si>
    <t>Funded Elem PE Prog. MEM</t>
  </si>
  <si>
    <t>ELEMENTARY P.E. UNITS</t>
  </si>
  <si>
    <t>National Board Certified Teachers</t>
  </si>
  <si>
    <t>FTE:</t>
  </si>
  <si>
    <t>NATIONAL BOARD CERTIFIED TEACHERS UNITS</t>
  </si>
  <si>
    <t>Size Adjustment Units (see PROGRAM/SIZE ADJUSTMENT UNITS)</t>
  </si>
  <si>
    <t>FY22 PHASE-OUT</t>
  </si>
  <si>
    <t>Elementary/Mid/Jr. High</t>
  </si>
  <si>
    <t>Senior High</t>
  </si>
  <si>
    <t>Geographic School District Location MEM</t>
  </si>
  <si>
    <t>SCHOOL SIZE ADJUSTMENT UNITS</t>
  </si>
  <si>
    <t>DISTRICT SIZE &lt;4,000 ADJUSTMENT UNITS</t>
  </si>
  <si>
    <t>DISTRICT SIZE &lt;200 ADJUSTMENT UNITS</t>
  </si>
  <si>
    <t>Rural Population</t>
  </si>
  <si>
    <t>differential</t>
  </si>
  <si>
    <t>RURAL POPULATION FORMULA</t>
  </si>
  <si>
    <t>FY22 COST DIFFERENTIAL</t>
  </si>
  <si>
    <t>ELIGIBLE</t>
  </si>
  <si>
    <t>RURAL POPULATION PROPORTION</t>
  </si>
  <si>
    <t>(MEM) × (Rural Population Proportion) × (0.03) = UNITS</t>
  </si>
  <si>
    <t>RURAL POPULATION UNITS</t>
  </si>
  <si>
    <t>At-Risk Units</t>
  </si>
  <si>
    <t>At-risk index</t>
  </si>
  <si>
    <t>AT-RISK UNITS</t>
  </si>
  <si>
    <t>Growth Units</t>
  </si>
  <si>
    <t>GROWTH CALCULATION DATA</t>
  </si>
  <si>
    <t>2020-21 Actual 40th MEM (Enter the District Mem EXCLUDING Charter Mem)</t>
  </si>
  <si>
    <t>2021-22 Projected MEM (Enter the District Mem EXCLUDING Charter Mem)</t>
  </si>
  <si>
    <t xml:space="preserve">   </t>
  </si>
  <si>
    <t>2021-22 Actual 40th MEM (Enter the District Mem EXCLUDING Charter Mem)</t>
  </si>
  <si>
    <t>GROWTH UNITS</t>
  </si>
  <si>
    <t>Growth Data</t>
  </si>
  <si>
    <t>2021-22 Operating Budget Calculation</t>
  </si>
  <si>
    <t>Op-Bud takes 20-21 40 Day compared to 21-22 Mem Proj. FTE</t>
  </si>
  <si>
    <t>40th Day Calculation</t>
  </si>
  <si>
    <t>Takes Prior Year 40th-Day and compares to Current Year 40th-Day</t>
  </si>
  <si>
    <t>(Districts Only)</t>
  </si>
  <si>
    <t>CHARTER SCHOOLS STUDENT ACTIVITIES UNITS</t>
  </si>
  <si>
    <t>HOME SCHOOL STUDENT ACTIVITIES UNITS</t>
  </si>
  <si>
    <t>Home School Student Program Units</t>
  </si>
  <si>
    <t>HOME SCHOOL STUDENT PROGRAM UNITS</t>
  </si>
  <si>
    <t>New District Adjustment</t>
  </si>
  <si>
    <t>If district is eligible, enter    YES     in the appropriate box.</t>
  </si>
  <si>
    <t>District eligible?</t>
  </si>
  <si>
    <t>NO</t>
  </si>
  <si>
    <t>Mem</t>
  </si>
  <si>
    <t>a.  NEWLY CREATED SCHOOL DISTRICT</t>
  </si>
  <si>
    <t>(MEM for current year) × .147 = UNITS</t>
  </si>
  <si>
    <t>b.  DISTRICT WHOSE MEMBERSHIP DECREASES AS A RESULT OF A NEWLY CREATED DISTRICT</t>
  </si>
  <si>
    <t>(MEM for prior year – MEM for current year) × .17 = UNITS</t>
  </si>
  <si>
    <t>SUBTOTAL PROGRAM UNITS</t>
  </si>
  <si>
    <t>Save-Harmless Data</t>
  </si>
  <si>
    <t>2021-2022 40th Day TOTAL PROGRAM UNITS (Not Grand Total Program Units)</t>
  </si>
  <si>
    <t>SAVE HARMLESS UNITS</t>
  </si>
  <si>
    <t>TOTAL SEG PROGRAM UNITS (PLUS SAVE HARMLESS)</t>
  </si>
  <si>
    <t>Extended Learning Time Program Units (including New Program Projections)</t>
  </si>
  <si>
    <t>New ELT Prog. MEM</t>
  </si>
  <si>
    <t>EXTENDED LEARNING TIME PROGRAM UNITS</t>
  </si>
  <si>
    <t>K-5 Plus Program Units (including New Program Projections)</t>
  </si>
  <si>
    <t>New K-5+ Prog. MEM</t>
  </si>
  <si>
    <t>K-5 PLUS PROGRAM UNITS</t>
  </si>
  <si>
    <t>GRAND TOTAL SEG PROGRAM UNITS</t>
  </si>
  <si>
    <t>× Unit Value</t>
  </si>
  <si>
    <t>PROGRAM COST</t>
  </si>
  <si>
    <t>CHARTER SCHOOL ADMIN. WITHHOLDING</t>
  </si>
  <si>
    <t>Non-categorical Revenue Credits:</t>
  </si>
  <si>
    <t>100% payment</t>
  </si>
  <si>
    <t>Proportionality</t>
  </si>
  <si>
    <t>Tax Levy (41110, 41113, 41114)</t>
  </si>
  <si>
    <t>Federal Impact Aid (44103) (enter 100% operational)</t>
  </si>
  <si>
    <t>Federal Forest Reserve (44204)</t>
  </si>
  <si>
    <t>Total Non-Cat Rev Credits</t>
  </si>
  <si>
    <t>Less: 75% of Non-Categorical Revenue  Credits</t>
  </si>
  <si>
    <t>Other Credits/Adjustments:</t>
  </si>
  <si>
    <t xml:space="preserve"> Energy Efficiency Renewable Bonds (100%)</t>
  </si>
  <si>
    <t>Total Other Credits</t>
  </si>
  <si>
    <t>Less: Other Credits/Adjustments</t>
  </si>
  <si>
    <t>STATE EQUALIZATION GUARANTEE BEFORE 2021 HB2 HOLD HARMLESS</t>
  </si>
  <si>
    <t>2021 HB2 Hold Harmless:</t>
  </si>
  <si>
    <t>SEG as of January 1, 2021</t>
  </si>
  <si>
    <t>STATE EQUALIZATION GUARANTEE</t>
  </si>
  <si>
    <t xml:space="preserve"> 2021-2022 STATE EQUALIZATION GUARANTEE TOOL</t>
  </si>
  <si>
    <t>Select Name in dropdown below, clear cell for new selection</t>
  </si>
  <si>
    <t>SCHOOL</t>
  </si>
  <si>
    <t>JUNE 2021</t>
  </si>
  <si>
    <t>JUNE 2022</t>
  </si>
  <si>
    <t>DISTRICT</t>
  </si>
  <si>
    <t>100% Amount Certified</t>
  </si>
  <si>
    <t>SEG 90% Transfer</t>
  </si>
  <si>
    <t>Mountainair 2012B</t>
  </si>
  <si>
    <t>Santa Fe 2016A</t>
  </si>
  <si>
    <t>Santa Fe 2018A</t>
  </si>
  <si>
    <t>Santa Fe Subtotal</t>
  </si>
  <si>
    <t>Socorro 2012A</t>
  </si>
  <si>
    <t>Socorro 2019C</t>
  </si>
  <si>
    <t>Socorro Subtotal</t>
  </si>
  <si>
    <t>Texico 2019A</t>
  </si>
  <si>
    <t>N/A</t>
  </si>
  <si>
    <t>Elementary PE Mem 80th day from FY09 approved program mem</t>
  </si>
  <si>
    <t>Elem PE Program Mem K-6 potential FY22</t>
  </si>
  <si>
    <t>Elem PE Program Mem Funded</t>
  </si>
  <si>
    <t>*Subject to change after the first reporting period and the setting of the unit value.</t>
  </si>
  <si>
    <t>NOTE: FOR FY22, Elementary PE will be funded using the methodology similar to the Hold Harmless provision in Laws of 2021, Chapter 137, House Bill 2, Section 4, and Subsection K.  Which means that Elementary PE will be funded using the greater of MEM in the Final Funded Run as of 1/1/2021 or FY22 80/120 average and then comparing it to the approved FY08 program taking the lesser MEM.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</si>
</sst>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8" formatCode="&quot;$&quot;#,##0.00_);[Red]\(&quot;$&quot;#,##0.00\)"/>
    <numFmt numFmtId="44" formatCode="_(&quot;$&quot;* #,##0.00_);_(&quot;$&quot;* \(#,##0.00\);_(&quot;$&quot;* &quot;-&quot;??_);_(@_)"/>
    <numFmt numFmtId="43" formatCode="_(* #,##0.00_);_(* \(#,##0.00\);_(* &quot;-&quot;??_);_(@_)"/>
    <numFmt numFmtId="164" formatCode="000"/>
    <numFmt numFmtId="165" formatCode="0.000"/>
    <numFmt numFmtId="166" formatCode="&quot;$&quot;#,##0.00"/>
    <numFmt numFmtId="167" formatCode="_(* #,##0.000_);_(* \(#,##0.000\);_(* &quot;-&quot;??_);_(@_)"/>
    <numFmt numFmtId="168" formatCode="#,##0.000"/>
    <numFmt numFmtId="169" formatCode="_(* #,##0_);_(* \(#,##0\);_(* &quot;-&quot;??_);_(@_)"/>
    <numFmt numFmtId="170" formatCode="#,##0.000_);[Red]\(#,##0.000\)"/>
    <numFmt numFmtId="171" formatCode="0.000_)"/>
    <numFmt numFmtId="172" formatCode="0.00_)"/>
    <numFmt numFmtId="173" formatCode="#,##0.000_);\(#,##0.000\)"/>
    <numFmt numFmtId="174" formatCode="0.000_);[Red]\(0.000\)"/>
  </numFmts>
  <fonts count="42">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8"/>
      <color theme="1"/>
      <name val="Arial"/>
      <family val="2"/>
    </font>
    <font>
      <b/>
      <sz val="8"/>
      <color theme="1"/>
      <name val="Arial"/>
      <family val="2"/>
    </font>
    <font>
      <sz val="11"/>
      <name val="Calibri"/>
      <family val="2"/>
    </font>
    <font>
      <sz val="8"/>
      <color rgb="FF000000"/>
      <name val="Arial"/>
      <family val="2"/>
    </font>
    <font>
      <b/>
      <sz val="8"/>
      <color rgb="FF000000"/>
      <name val="Arial"/>
      <family val="2"/>
    </font>
    <font>
      <sz val="8"/>
      <name val="AvantGarde Bk BT"/>
    </font>
    <font>
      <sz val="10"/>
      <name val="MS Sans Serif"/>
      <family val="2"/>
    </font>
    <font>
      <b/>
      <sz val="11"/>
      <name val="Calibri"/>
      <family val="2"/>
      <scheme val="minor"/>
    </font>
    <font>
      <sz val="11"/>
      <name val="Calibri"/>
      <family val="2"/>
      <scheme val="minor"/>
    </font>
    <font>
      <b/>
      <i/>
      <sz val="11"/>
      <name val="Calibri"/>
      <family val="2"/>
      <scheme val="minor"/>
    </font>
    <font>
      <b/>
      <u/>
      <sz val="11"/>
      <name val="Calibri"/>
      <family val="2"/>
      <scheme val="minor"/>
    </font>
    <font>
      <i/>
      <sz val="11"/>
      <name val="Calibri"/>
      <family val="2"/>
      <scheme val="minor"/>
    </font>
    <font>
      <b/>
      <i/>
      <sz val="11"/>
      <color rgb="FFFF0000"/>
      <name val="Calibri"/>
      <family val="2"/>
      <scheme val="minor"/>
    </font>
    <font>
      <b/>
      <i/>
      <sz val="11"/>
      <color theme="1"/>
      <name val="Calibri"/>
      <family val="2"/>
      <scheme val="minor"/>
    </font>
    <font>
      <b/>
      <sz val="8"/>
      <name val="Lucida Sans"/>
      <family val="2"/>
    </font>
    <font>
      <b/>
      <sz val="10"/>
      <name val="Lucida Sans"/>
      <family val="2"/>
    </font>
    <font>
      <b/>
      <sz val="9"/>
      <name val="Lucida Sans"/>
      <family val="2"/>
    </font>
    <font>
      <b/>
      <u/>
      <sz val="10"/>
      <name val="Lucida Sans"/>
      <family val="2"/>
    </font>
    <font>
      <sz val="8"/>
      <name val="Lucida Sans"/>
      <family val="2"/>
    </font>
    <font>
      <b/>
      <i/>
      <sz val="8"/>
      <name val="Lucida Sans"/>
      <family val="2"/>
    </font>
    <font>
      <sz val="8"/>
      <color theme="1"/>
      <name val="Lucida Sans"/>
      <family val="2"/>
    </font>
    <font>
      <sz val="9"/>
      <name val="Lucida Sans"/>
      <family val="2"/>
    </font>
    <font>
      <i/>
      <sz val="8"/>
      <name val="Lucida Sans"/>
      <family val="2"/>
    </font>
    <font>
      <b/>
      <u/>
      <sz val="8"/>
      <name val="Lucida Sans"/>
      <family val="2"/>
    </font>
    <font>
      <sz val="8"/>
      <color rgb="FFFF0000"/>
      <name val="Lucida Sans"/>
      <family val="2"/>
    </font>
    <font>
      <b/>
      <sz val="7"/>
      <name val="Lucida Sans"/>
      <family val="2"/>
    </font>
    <font>
      <i/>
      <sz val="8"/>
      <color indexed="33"/>
      <name val="Lucida Sans"/>
      <family val="2"/>
    </font>
    <font>
      <b/>
      <i/>
      <sz val="10"/>
      <name val="Lucida Sans"/>
      <family val="2"/>
    </font>
    <font>
      <sz val="7"/>
      <name val="Lucida Sans"/>
      <family val="2"/>
    </font>
    <font>
      <u/>
      <sz val="8"/>
      <name val="Lucida Sans"/>
      <family val="2"/>
    </font>
    <font>
      <b/>
      <sz val="11"/>
      <name val="Lucida Sans"/>
      <family val="2"/>
    </font>
    <font>
      <b/>
      <sz val="16"/>
      <name val="Lucida Sans"/>
      <family val="2"/>
    </font>
    <font>
      <i/>
      <sz val="11"/>
      <color rgb="FFFF0000"/>
      <name val="Calibri"/>
      <family val="2"/>
      <scheme val="minor"/>
    </font>
    <font>
      <b/>
      <sz val="10"/>
      <name val="Arial"/>
      <family val="2"/>
    </font>
    <font>
      <sz val="10"/>
      <name val="Arial"/>
      <family val="2"/>
    </font>
    <font>
      <b/>
      <i/>
      <sz val="10"/>
      <name val="Arial"/>
      <family val="2"/>
    </font>
    <font>
      <sz val="9"/>
      <color indexed="81"/>
      <name val="Tahoma"/>
      <family val="2"/>
    </font>
    <font>
      <b/>
      <sz val="9"/>
      <color indexed="81"/>
      <name val="Tahoma"/>
      <family val="2"/>
    </font>
  </fonts>
  <fills count="13">
    <fill>
      <patternFill patternType="none"/>
    </fill>
    <fill>
      <patternFill patternType="gray125"/>
    </fill>
    <fill>
      <patternFill patternType="solid">
        <fgColor theme="7" tint="0.59999389629810485"/>
        <bgColor indexed="64"/>
      </patternFill>
    </fill>
    <fill>
      <patternFill patternType="solid">
        <fgColor rgb="FFBDD7EE"/>
        <bgColor rgb="FF000000"/>
      </patternFill>
    </fill>
    <fill>
      <patternFill patternType="solid">
        <fgColor theme="4" tint="0.59999389629810485"/>
        <bgColor indexed="64"/>
      </patternFill>
    </fill>
    <fill>
      <patternFill patternType="solid">
        <fgColor theme="0"/>
        <bgColor indexed="64"/>
      </patternFill>
    </fill>
    <fill>
      <patternFill patternType="solid">
        <fgColor rgb="FFFFE699"/>
        <bgColor rgb="FF000000"/>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indexed="24"/>
        <bgColor indexed="27"/>
      </patternFill>
    </fill>
  </fills>
  <borders count="47">
    <border>
      <left/>
      <right/>
      <top/>
      <bottom/>
      <diagonal/>
    </border>
    <border>
      <left style="thin">
        <color indexed="64"/>
      </left>
      <right style="thin">
        <color indexed="64"/>
      </right>
      <top style="thin">
        <color indexed="64"/>
      </top>
      <bottom style="thin">
        <color indexed="64"/>
      </bottom>
      <diagonal/>
    </border>
    <border>
      <left/>
      <right style="hair">
        <color auto="1"/>
      </right>
      <top/>
      <bottom style="thin">
        <color indexed="64"/>
      </bottom>
      <diagonal/>
    </border>
    <border>
      <left style="hair">
        <color auto="1"/>
      </left>
      <right style="hair">
        <color auto="1"/>
      </right>
      <top/>
      <bottom style="thin">
        <color indexed="64"/>
      </bottom>
      <diagonal/>
    </border>
    <border>
      <left style="hair">
        <color auto="1"/>
      </left>
      <right/>
      <top/>
      <bottom style="thin">
        <color indexed="64"/>
      </bottom>
      <diagonal/>
    </border>
    <border>
      <left/>
      <right/>
      <top/>
      <bottom style="thin">
        <color indexed="64"/>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thin">
        <color indexed="64"/>
      </bottom>
      <diagonal/>
    </border>
    <border>
      <left style="hair">
        <color auto="1"/>
      </left>
      <right/>
      <top style="hair">
        <color auto="1"/>
      </top>
      <bottom style="thin">
        <color indexed="64"/>
      </bottom>
      <diagonal/>
    </border>
    <border>
      <left/>
      <right/>
      <top style="hair">
        <color auto="1"/>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40" fontId="9" fillId="0" borderId="0" applyFont="0" applyFill="0" applyBorder="0" applyAlignment="0" applyProtection="0"/>
    <xf numFmtId="38" fontId="9" fillId="0" borderId="0" applyFont="0" applyFill="0" applyBorder="0" applyAlignment="0" applyProtection="0"/>
    <xf numFmtId="43" fontId="10" fillId="0" borderId="0" applyFont="0" applyFill="0" applyBorder="0" applyAlignment="0" applyProtection="0"/>
    <xf numFmtId="0" fontId="3" fillId="0" borderId="0"/>
    <xf numFmtId="40" fontId="9" fillId="0" borderId="0" applyFont="0" applyFill="0" applyBorder="0" applyAlignment="0" applyProtection="0"/>
    <xf numFmtId="0" fontId="3" fillId="0" borderId="0"/>
    <xf numFmtId="8" fontId="9" fillId="0" borderId="0" applyFont="0" applyFill="0" applyBorder="0" applyAlignment="0" applyProtection="0"/>
    <xf numFmtId="0" fontId="3" fillId="0" borderId="0"/>
  </cellStyleXfs>
  <cellXfs count="456">
    <xf numFmtId="0" fontId="0" fillId="0" borderId="0" xfId="0"/>
    <xf numFmtId="0" fontId="4" fillId="0" borderId="0" xfId="4" applyFont="1" applyProtection="1"/>
    <xf numFmtId="0" fontId="5" fillId="0" borderId="0" xfId="4" applyFont="1" applyBorder="1" applyAlignment="1" applyProtection="1">
      <alignment horizontal="center"/>
    </xf>
    <xf numFmtId="164" fontId="5" fillId="0" borderId="0" xfId="4" applyNumberFormat="1" applyFont="1" applyBorder="1" applyAlignment="1" applyProtection="1">
      <alignment horizontal="center"/>
    </xf>
    <xf numFmtId="0" fontId="3" fillId="0" borderId="0" xfId="4" applyProtection="1"/>
    <xf numFmtId="0" fontId="4" fillId="0" borderId="0" xfId="0" applyFont="1" applyProtection="1"/>
    <xf numFmtId="0" fontId="4" fillId="0" borderId="1" xfId="4" applyFont="1" applyBorder="1" applyAlignment="1" applyProtection="1">
      <alignment wrapText="1"/>
    </xf>
    <xf numFmtId="0" fontId="4" fillId="0" borderId="1" xfId="4" applyFont="1" applyBorder="1" applyAlignment="1" applyProtection="1">
      <alignment horizontal="center" wrapText="1"/>
    </xf>
    <xf numFmtId="164" fontId="4" fillId="0" borderId="1" xfId="4" applyNumberFormat="1" applyFont="1" applyBorder="1" applyAlignment="1" applyProtection="1">
      <alignment horizontal="center" wrapText="1"/>
    </xf>
    <xf numFmtId="0" fontId="4" fillId="0" borderId="1" xfId="0" applyFont="1" applyBorder="1" applyAlignment="1" applyProtection="1">
      <alignment wrapText="1"/>
    </xf>
    <xf numFmtId="165" fontId="6" fillId="0" borderId="0" xfId="0" applyNumberFormat="1" applyFont="1" applyFill="1" applyBorder="1" applyAlignment="1" applyProtection="1">
      <alignment horizontal="left"/>
    </xf>
    <xf numFmtId="0" fontId="6" fillId="0" borderId="0" xfId="0" applyFont="1" applyFill="1" applyBorder="1" applyProtection="1"/>
    <xf numFmtId="0" fontId="7" fillId="0" borderId="1" xfId="0" applyFont="1" applyFill="1" applyBorder="1" applyAlignment="1" applyProtection="1">
      <alignment wrapText="1"/>
    </xf>
    <xf numFmtId="0" fontId="7" fillId="0" borderId="1" xfId="0" applyFont="1" applyFill="1" applyBorder="1" applyAlignment="1" applyProtection="1">
      <alignment horizontal="center" wrapText="1"/>
    </xf>
    <xf numFmtId="164" fontId="7" fillId="0" borderId="1" xfId="0" applyNumberFormat="1" applyFont="1" applyFill="1" applyBorder="1" applyAlignment="1" applyProtection="1">
      <alignment horizontal="center" wrapText="1"/>
    </xf>
    <xf numFmtId="0" fontId="8" fillId="0" borderId="1" xfId="0" applyFont="1" applyFill="1" applyBorder="1" applyAlignment="1" applyProtection="1">
      <alignment wrapText="1"/>
    </xf>
    <xf numFmtId="0" fontId="4" fillId="0" borderId="1" xfId="4" applyFont="1" applyFill="1" applyBorder="1" applyAlignment="1" applyProtection="1">
      <alignment horizontal="left"/>
    </xf>
    <xf numFmtId="0" fontId="4" fillId="0" borderId="1" xfId="4" applyFont="1" applyFill="1" applyBorder="1" applyProtection="1"/>
    <xf numFmtId="164" fontId="4" fillId="0" borderId="1" xfId="4" applyNumberFormat="1" applyFont="1" applyBorder="1" applyProtection="1"/>
    <xf numFmtId="49" fontId="4" fillId="0" borderId="1" xfId="4" applyNumberFormat="1" applyFont="1" applyBorder="1" applyProtection="1"/>
    <xf numFmtId="0" fontId="4" fillId="0" borderId="1" xfId="4" applyNumberFormat="1" applyFont="1" applyBorder="1" applyProtection="1"/>
    <xf numFmtId="0" fontId="4" fillId="0" borderId="1" xfId="4" applyFont="1" applyBorder="1" applyProtection="1"/>
    <xf numFmtId="38" fontId="0" fillId="0" borderId="0" xfId="5" applyNumberFormat="1" applyFont="1" applyProtection="1"/>
    <xf numFmtId="10" fontId="3" fillId="0" borderId="0" xfId="4" applyNumberFormat="1" applyProtection="1"/>
    <xf numFmtId="0" fontId="4" fillId="0" borderId="1" xfId="4" applyFont="1" applyFill="1" applyBorder="1" applyAlignment="1" applyProtection="1">
      <alignment horizontal="left" indent="1" readingOrder="1"/>
    </xf>
    <xf numFmtId="0" fontId="7" fillId="0" borderId="1" xfId="0" applyFont="1" applyFill="1" applyBorder="1" applyAlignment="1" applyProtection="1">
      <alignment horizontal="left"/>
    </xf>
    <xf numFmtId="0" fontId="7" fillId="0" borderId="1" xfId="0" applyFont="1" applyFill="1" applyBorder="1" applyProtection="1"/>
    <xf numFmtId="164" fontId="7" fillId="0" borderId="1" xfId="0" applyNumberFormat="1" applyFont="1" applyFill="1" applyBorder="1" applyProtection="1"/>
    <xf numFmtId="49" fontId="7" fillId="0" borderId="1" xfId="0" applyNumberFormat="1" applyFont="1" applyFill="1" applyBorder="1" applyProtection="1"/>
    <xf numFmtId="0" fontId="7" fillId="0" borderId="1" xfId="0" applyNumberFormat="1" applyFont="1" applyFill="1" applyBorder="1" applyProtection="1"/>
    <xf numFmtId="2" fontId="7" fillId="0" borderId="1" xfId="0" applyNumberFormat="1" applyFont="1" applyFill="1" applyBorder="1" applyProtection="1"/>
    <xf numFmtId="165" fontId="7" fillId="0" borderId="1" xfId="0" applyNumberFormat="1" applyFont="1" applyFill="1" applyBorder="1" applyProtection="1"/>
    <xf numFmtId="166" fontId="7" fillId="0" borderId="1" xfId="2" applyNumberFormat="1" applyFont="1" applyFill="1" applyBorder="1" applyProtection="1"/>
    <xf numFmtId="4" fontId="7" fillId="0" borderId="1" xfId="0" applyNumberFormat="1" applyFont="1" applyFill="1" applyBorder="1" applyProtection="1"/>
    <xf numFmtId="0" fontId="5" fillId="2" borderId="1" xfId="4" applyFont="1" applyFill="1" applyBorder="1" applyProtection="1"/>
    <xf numFmtId="0" fontId="4" fillId="2" borderId="1" xfId="4" applyFont="1" applyFill="1" applyBorder="1" applyProtection="1"/>
    <xf numFmtId="164" fontId="4" fillId="2" borderId="1" xfId="4" applyNumberFormat="1" applyFont="1" applyFill="1" applyBorder="1" applyProtection="1"/>
    <xf numFmtId="49" fontId="4" fillId="2" borderId="1" xfId="4" applyNumberFormat="1" applyFont="1" applyFill="1" applyBorder="1" applyProtection="1"/>
    <xf numFmtId="0" fontId="4" fillId="2" borderId="1" xfId="4" applyNumberFormat="1" applyFont="1" applyFill="1" applyBorder="1" applyProtection="1"/>
    <xf numFmtId="0" fontId="7" fillId="0" borderId="1" xfId="0" applyFont="1" applyFill="1" applyBorder="1" applyAlignment="1" applyProtection="1">
      <alignment horizontal="left" indent="1" readingOrder="1"/>
    </xf>
    <xf numFmtId="0" fontId="8" fillId="3" borderId="1" xfId="0" applyFont="1" applyFill="1" applyBorder="1" applyProtection="1"/>
    <xf numFmtId="164" fontId="8" fillId="3" borderId="1" xfId="0" applyNumberFormat="1" applyFont="1" applyFill="1" applyBorder="1" applyProtection="1"/>
    <xf numFmtId="43" fontId="8" fillId="3" borderId="1" xfId="1" applyFont="1" applyFill="1" applyBorder="1" applyProtection="1"/>
    <xf numFmtId="167" fontId="8" fillId="3" borderId="1" xfId="1" applyNumberFormat="1" applyFont="1" applyFill="1" applyBorder="1" applyProtection="1"/>
    <xf numFmtId="165" fontId="8" fillId="3" borderId="1" xfId="1" applyNumberFormat="1" applyFont="1" applyFill="1" applyBorder="1" applyProtection="1"/>
    <xf numFmtId="0" fontId="5" fillId="4" borderId="1" xfId="4" applyFont="1" applyFill="1" applyBorder="1" applyProtection="1"/>
    <xf numFmtId="164" fontId="5" fillId="4" borderId="1" xfId="4" applyNumberFormat="1" applyFont="1" applyFill="1" applyBorder="1" applyProtection="1"/>
    <xf numFmtId="39" fontId="8" fillId="3" borderId="1" xfId="1" applyNumberFormat="1" applyFont="1" applyFill="1" applyBorder="1" applyProtection="1"/>
    <xf numFmtId="0" fontId="4" fillId="2" borderId="1" xfId="4" applyFont="1" applyFill="1" applyBorder="1" applyAlignment="1" applyProtection="1"/>
    <xf numFmtId="0" fontId="3" fillId="5" borderId="1" xfId="4" applyFont="1" applyFill="1" applyBorder="1" applyProtection="1"/>
    <xf numFmtId="164" fontId="4" fillId="0" borderId="1" xfId="4" applyNumberFormat="1" applyFont="1" applyFill="1" applyBorder="1" applyProtection="1"/>
    <xf numFmtId="49" fontId="4" fillId="0" borderId="1" xfId="4" applyNumberFormat="1" applyFont="1" applyFill="1" applyBorder="1" applyProtection="1"/>
    <xf numFmtId="0" fontId="4" fillId="0" borderId="1" xfId="4" applyNumberFormat="1" applyFont="1" applyFill="1" applyBorder="1" applyProtection="1"/>
    <xf numFmtId="0" fontId="7" fillId="6" borderId="1" xfId="0" applyFont="1" applyFill="1" applyBorder="1" applyAlignment="1" applyProtection="1"/>
    <xf numFmtId="164" fontId="7" fillId="6" borderId="1" xfId="0" applyNumberFormat="1" applyFont="1" applyFill="1" applyBorder="1" applyProtection="1"/>
    <xf numFmtId="49" fontId="7" fillId="6" borderId="1" xfId="0" applyNumberFormat="1" applyFont="1" applyFill="1" applyBorder="1" applyProtection="1"/>
    <xf numFmtId="0" fontId="7" fillId="6" borderId="1" xfId="0" applyNumberFormat="1" applyFont="1" applyFill="1" applyBorder="1" applyProtection="1"/>
    <xf numFmtId="0" fontId="7" fillId="6" borderId="1" xfId="0" applyFont="1" applyFill="1" applyBorder="1" applyProtection="1"/>
    <xf numFmtId="166" fontId="7" fillId="6" borderId="1" xfId="2" applyNumberFormat="1" applyFont="1" applyFill="1" applyBorder="1" applyProtection="1"/>
    <xf numFmtId="2" fontId="7" fillId="6" borderId="1" xfId="0" applyNumberFormat="1" applyFont="1" applyFill="1" applyBorder="1" applyProtection="1"/>
    <xf numFmtId="165" fontId="7" fillId="6" borderId="1" xfId="0" applyNumberFormat="1" applyFont="1" applyFill="1" applyBorder="1" applyProtection="1"/>
    <xf numFmtId="0" fontId="8" fillId="6" borderId="1" xfId="0" applyFont="1" applyFill="1" applyBorder="1" applyProtection="1"/>
    <xf numFmtId="0" fontId="4" fillId="0" borderId="1" xfId="4" applyFont="1" applyFill="1" applyBorder="1" applyAlignment="1" applyProtection="1"/>
    <xf numFmtId="164" fontId="4" fillId="0" borderId="0" xfId="4" applyNumberFormat="1" applyFont="1" applyProtection="1"/>
    <xf numFmtId="0" fontId="11" fillId="7" borderId="1" xfId="0" applyFont="1" applyFill="1" applyBorder="1"/>
    <xf numFmtId="0" fontId="11" fillId="0" borderId="1" xfId="0" applyFont="1" applyFill="1" applyBorder="1"/>
    <xf numFmtId="0" fontId="12" fillId="0" borderId="0" xfId="0" applyFont="1" applyFill="1" applyBorder="1"/>
    <xf numFmtId="0" fontId="12" fillId="0" borderId="1" xfId="0" applyFont="1" applyFill="1" applyBorder="1"/>
    <xf numFmtId="0" fontId="12" fillId="8" borderId="1" xfId="0" applyFont="1" applyFill="1" applyBorder="1"/>
    <xf numFmtId="2" fontId="12" fillId="8" borderId="1" xfId="0" applyNumberFormat="1" applyFont="1" applyFill="1" applyBorder="1"/>
    <xf numFmtId="0" fontId="0" fillId="0" borderId="1" xfId="0" applyFill="1" applyBorder="1"/>
    <xf numFmtId="0" fontId="0" fillId="0" borderId="1" xfId="0" applyFont="1" applyFill="1" applyBorder="1"/>
    <xf numFmtId="0" fontId="0" fillId="0" borderId="0" xfId="0" applyFont="1" applyProtection="1">
      <protection locked="0"/>
    </xf>
    <xf numFmtId="0" fontId="11" fillId="0" borderId="0" xfId="0" applyFont="1" applyFill="1" applyAlignment="1" applyProtection="1"/>
    <xf numFmtId="0" fontId="0" fillId="0" borderId="0" xfId="0" applyFont="1" applyProtection="1"/>
    <xf numFmtId="0" fontId="11" fillId="0" borderId="0" xfId="0" applyFont="1" applyFill="1" applyAlignment="1" applyProtection="1">
      <alignment horizontal="left"/>
    </xf>
    <xf numFmtId="0" fontId="11" fillId="0" borderId="0" xfId="0" applyFont="1" applyFill="1" applyAlignment="1" applyProtection="1">
      <alignment horizontal="center"/>
    </xf>
    <xf numFmtId="0" fontId="0" fillId="0" borderId="5" xfId="0" applyFont="1" applyBorder="1" applyAlignment="1" applyProtection="1">
      <alignment horizontal="center"/>
    </xf>
    <xf numFmtId="0" fontId="12" fillId="0" borderId="0" xfId="0" applyNumberFormat="1" applyFont="1" applyFill="1" applyBorder="1" applyAlignment="1" applyProtection="1">
      <alignment horizontal="center"/>
    </xf>
    <xf numFmtId="0" fontId="11" fillId="0" borderId="0" xfId="0" applyNumberFormat="1" applyFont="1" applyFill="1" applyBorder="1" applyAlignment="1" applyProtection="1">
      <alignment horizontal="center"/>
    </xf>
    <xf numFmtId="0" fontId="12" fillId="0" borderId="0" xfId="0" applyNumberFormat="1" applyFont="1" applyFill="1" applyBorder="1" applyAlignment="1" applyProtection="1">
      <alignment horizontal="center" vertical="top"/>
    </xf>
    <xf numFmtId="0" fontId="13" fillId="0" borderId="0" xfId="0" quotePrefix="1" applyNumberFormat="1" applyFont="1" applyFill="1" applyBorder="1" applyAlignment="1" applyProtection="1">
      <alignment horizontal="center" vertical="top"/>
    </xf>
    <xf numFmtId="0" fontId="13" fillId="0" borderId="0" xfId="0" applyNumberFormat="1" applyFont="1" applyFill="1" applyBorder="1" applyAlignment="1" applyProtection="1">
      <alignment horizontal="center" vertical="top"/>
    </xf>
    <xf numFmtId="0" fontId="11" fillId="0" borderId="0" xfId="0" applyNumberFormat="1" applyFont="1" applyFill="1" applyBorder="1" applyAlignment="1" applyProtection="1">
      <alignment horizontal="center" vertical="top"/>
    </xf>
    <xf numFmtId="0" fontId="12" fillId="0" borderId="0" xfId="0" applyNumberFormat="1" applyFont="1" applyFill="1" applyBorder="1" applyAlignment="1" applyProtection="1">
      <alignment horizontal="center" vertical="center"/>
    </xf>
    <xf numFmtId="0" fontId="14" fillId="0" borderId="0" xfId="0" quotePrefix="1"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right" vertical="center"/>
    </xf>
    <xf numFmtId="4" fontId="12" fillId="7" borderId="6" xfId="0" applyNumberFormat="1" applyFont="1" applyFill="1" applyBorder="1" applyAlignment="1" applyProtection="1">
      <alignment vertical="center"/>
      <protection locked="0"/>
    </xf>
    <xf numFmtId="4" fontId="12" fillId="7" borderId="7" xfId="0" applyNumberFormat="1" applyFont="1" applyFill="1" applyBorder="1" applyAlignment="1" applyProtection="1">
      <alignment vertical="center"/>
      <protection locked="0"/>
    </xf>
    <xf numFmtId="4" fontId="12" fillId="7" borderId="8" xfId="0" applyNumberFormat="1" applyFont="1" applyFill="1" applyBorder="1" applyAlignment="1" applyProtection="1">
      <alignment vertical="center"/>
      <protection locked="0"/>
    </xf>
    <xf numFmtId="40" fontId="12" fillId="0" borderId="0" xfId="0" applyNumberFormat="1" applyFont="1" applyFill="1" applyBorder="1" applyAlignment="1" applyProtection="1">
      <alignment vertical="center"/>
    </xf>
    <xf numFmtId="4" fontId="12" fillId="7" borderId="9" xfId="0" applyNumberFormat="1" applyFont="1" applyFill="1" applyBorder="1" applyAlignment="1" applyProtection="1">
      <alignment vertical="center"/>
      <protection locked="0"/>
    </xf>
    <xf numFmtId="4" fontId="12" fillId="0" borderId="0" xfId="0" applyNumberFormat="1" applyFont="1" applyFill="1" applyBorder="1" applyAlignment="1" applyProtection="1">
      <alignment vertical="center"/>
    </xf>
    <xf numFmtId="4" fontId="12" fillId="7" borderId="10" xfId="0" applyNumberFormat="1" applyFont="1" applyFill="1" applyBorder="1" applyAlignment="1" applyProtection="1">
      <alignment vertical="center"/>
      <protection locked="0"/>
    </xf>
    <xf numFmtId="4" fontId="12" fillId="7" borderId="11" xfId="0" applyNumberFormat="1" applyFont="1" applyFill="1" applyBorder="1" applyAlignment="1" applyProtection="1">
      <alignment vertical="center"/>
      <protection locked="0"/>
    </xf>
    <xf numFmtId="4" fontId="12" fillId="7" borderId="12" xfId="0" applyNumberFormat="1" applyFont="1" applyFill="1" applyBorder="1" applyAlignment="1" applyProtection="1">
      <alignment vertical="center"/>
      <protection locked="0"/>
    </xf>
    <xf numFmtId="4" fontId="12" fillId="7" borderId="13" xfId="0" applyNumberFormat="1" applyFont="1" applyFill="1" applyBorder="1" applyAlignment="1" applyProtection="1">
      <alignment vertical="center"/>
      <protection locked="0"/>
    </xf>
    <xf numFmtId="0" fontId="14" fillId="0" borderId="0" xfId="0" applyNumberFormat="1" applyFont="1" applyFill="1" applyBorder="1" applyAlignment="1" applyProtection="1">
      <alignment horizontal="left" vertical="center"/>
    </xf>
    <xf numFmtId="40" fontId="12" fillId="0" borderId="0" xfId="0" applyNumberFormat="1" applyFont="1" applyFill="1" applyBorder="1" applyAlignment="1" applyProtection="1">
      <alignment horizontal="center" vertical="center"/>
    </xf>
    <xf numFmtId="0" fontId="12" fillId="0" borderId="0" xfId="0" quotePrefix="1" applyNumberFormat="1" applyFont="1" applyFill="1" applyBorder="1" applyAlignment="1" applyProtection="1">
      <alignment horizontal="right" vertical="center"/>
    </xf>
    <xf numFmtId="40" fontId="12" fillId="0" borderId="5" xfId="0" applyNumberFormat="1" applyFont="1" applyFill="1" applyBorder="1" applyAlignment="1" applyProtection="1">
      <alignment vertical="center"/>
    </xf>
    <xf numFmtId="4" fontId="12" fillId="7" borderId="14" xfId="0" applyNumberFormat="1" applyFont="1" applyFill="1" applyBorder="1" applyAlignment="1" applyProtection="1">
      <alignment vertical="center"/>
      <protection locked="0"/>
    </xf>
    <xf numFmtId="4" fontId="12" fillId="7" borderId="15" xfId="0" applyNumberFormat="1" applyFont="1" applyFill="1" applyBorder="1" applyAlignment="1" applyProtection="1">
      <alignment vertical="center"/>
      <protection locked="0"/>
    </xf>
    <xf numFmtId="4" fontId="12" fillId="7" borderId="16" xfId="0" applyNumberFormat="1" applyFont="1" applyFill="1" applyBorder="1" applyAlignment="1" applyProtection="1">
      <alignment vertical="center"/>
      <protection locked="0"/>
    </xf>
    <xf numFmtId="0" fontId="11" fillId="0" borderId="0" xfId="0" applyNumberFormat="1" applyFont="1" applyFill="1" applyBorder="1" applyAlignment="1" applyProtection="1">
      <alignment horizontal="right" vertical="center"/>
    </xf>
    <xf numFmtId="0" fontId="12" fillId="0" borderId="0" xfId="0" quotePrefix="1"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left" vertical="center"/>
    </xf>
    <xf numFmtId="4" fontId="12" fillId="0" borderId="5" xfId="0" applyNumberFormat="1" applyFont="1" applyFill="1" applyBorder="1" applyAlignment="1" applyProtection="1">
      <alignment vertical="center"/>
    </xf>
    <xf numFmtId="40" fontId="11" fillId="0" borderId="0" xfId="0" applyNumberFormat="1" applyFont="1" applyFill="1" applyBorder="1" applyAlignment="1" applyProtection="1">
      <alignment horizontal="center" vertical="center"/>
    </xf>
    <xf numFmtId="4" fontId="12" fillId="7" borderId="17" xfId="0" applyNumberFormat="1" applyFont="1" applyFill="1" applyBorder="1" applyAlignment="1" applyProtection="1">
      <alignment vertical="center"/>
      <protection locked="0"/>
    </xf>
    <xf numFmtId="0" fontId="0" fillId="0" borderId="0" xfId="0" applyFont="1" applyBorder="1" applyProtection="1"/>
    <xf numFmtId="0" fontId="13" fillId="0" borderId="0" xfId="0" applyNumberFormat="1" applyFont="1" applyFill="1" applyBorder="1" applyAlignment="1" applyProtection="1">
      <alignment vertical="center"/>
    </xf>
    <xf numFmtId="0" fontId="12" fillId="0" borderId="0" xfId="8" quotePrefix="1" applyFont="1" applyAlignment="1" applyProtection="1">
      <alignment horizontal="right" vertical="center"/>
    </xf>
    <xf numFmtId="0" fontId="14" fillId="0" borderId="0" xfId="8" quotePrefix="1" applyFont="1" applyAlignment="1" applyProtection="1">
      <alignment horizontal="left" vertical="center"/>
    </xf>
    <xf numFmtId="0" fontId="12" fillId="0" borderId="0" xfId="8" applyFont="1" applyAlignment="1" applyProtection="1">
      <alignment vertical="center"/>
    </xf>
    <xf numFmtId="0" fontId="15" fillId="0" borderId="0" xfId="8" applyFont="1" applyAlignment="1" applyProtection="1">
      <alignment horizontal="right" vertical="center"/>
    </xf>
    <xf numFmtId="38" fontId="12" fillId="0" borderId="0" xfId="9" applyNumberFormat="1" applyFont="1" applyAlignment="1" applyProtection="1">
      <alignment horizontal="right" vertical="center"/>
    </xf>
    <xf numFmtId="40" fontId="12" fillId="0" borderId="0" xfId="5" applyNumberFormat="1" applyFont="1" applyFill="1" applyAlignment="1" applyProtection="1">
      <alignment vertical="center"/>
    </xf>
    <xf numFmtId="0" fontId="12" fillId="0" borderId="0" xfId="0" applyFont="1" applyAlignment="1" applyProtection="1">
      <alignment horizontal="right" vertical="center"/>
    </xf>
    <xf numFmtId="38" fontId="12" fillId="0" borderId="5" xfId="9" applyNumberFormat="1" applyFont="1" applyBorder="1" applyAlignment="1" applyProtection="1">
      <alignment horizontal="right" vertical="center"/>
    </xf>
    <xf numFmtId="40" fontId="12" fillId="0" borderId="5" xfId="5" applyNumberFormat="1" applyFont="1" applyFill="1" applyBorder="1" applyAlignment="1" applyProtection="1">
      <alignment vertical="center"/>
    </xf>
    <xf numFmtId="0" fontId="14" fillId="0" borderId="0" xfId="10" applyFont="1" applyAlignment="1" applyProtection="1">
      <alignment horizontal="left" vertical="center"/>
    </xf>
    <xf numFmtId="0" fontId="11" fillId="0" borderId="0" xfId="8" applyFont="1" applyAlignment="1" applyProtection="1">
      <alignment horizontal="right" vertical="center"/>
    </xf>
    <xf numFmtId="4" fontId="12" fillId="0" borderId="0" xfId="8" applyNumberFormat="1" applyFont="1" applyAlignment="1" applyProtection="1">
      <alignment vertical="center"/>
    </xf>
    <xf numFmtId="40" fontId="12" fillId="0" borderId="0" xfId="0" applyNumberFormat="1" applyFont="1" applyAlignment="1" applyProtection="1">
      <alignment vertical="center"/>
    </xf>
    <xf numFmtId="0" fontId="15" fillId="0" borderId="0" xfId="10" applyFont="1" applyAlignment="1" applyProtection="1">
      <alignment horizontal="right" vertical="center"/>
    </xf>
    <xf numFmtId="0" fontId="16" fillId="0" borderId="18" xfId="8" applyFont="1" applyBorder="1" applyAlignment="1" applyProtection="1">
      <alignment horizontal="left" vertical="center"/>
    </xf>
    <xf numFmtId="0" fontId="0" fillId="0" borderId="19" xfId="0" applyFont="1" applyBorder="1" applyProtection="1"/>
    <xf numFmtId="0" fontId="0" fillId="0" borderId="20" xfId="0" applyFont="1" applyBorder="1" applyProtection="1"/>
    <xf numFmtId="0" fontId="0" fillId="0" borderId="21" xfId="0" applyFont="1" applyBorder="1" applyProtection="1"/>
    <xf numFmtId="0" fontId="14" fillId="0" borderId="0" xfId="0" applyFont="1" applyBorder="1" applyAlignment="1" applyProtection="1">
      <alignment vertical="center"/>
    </xf>
    <xf numFmtId="0" fontId="14" fillId="0" borderId="0" xfId="0" applyFont="1" applyBorder="1" applyAlignment="1" applyProtection="1">
      <alignment horizontal="left" vertical="center"/>
    </xf>
    <xf numFmtId="0" fontId="0" fillId="0" borderId="22" xfId="0" applyFont="1" applyBorder="1" applyProtection="1"/>
    <xf numFmtId="0" fontId="15" fillId="0" borderId="0" xfId="0" applyFont="1" applyBorder="1" applyAlignment="1" applyProtection="1">
      <alignment horizontal="right" vertical="center"/>
    </xf>
    <xf numFmtId="43" fontId="12" fillId="0" borderId="0" xfId="9" applyNumberFormat="1" applyFont="1" applyFill="1" applyBorder="1" applyAlignment="1" applyProtection="1">
      <alignment vertical="center"/>
    </xf>
    <xf numFmtId="0" fontId="15" fillId="0" borderId="0" xfId="10" applyFont="1" applyBorder="1" applyAlignment="1" applyProtection="1">
      <alignment horizontal="left" vertical="center" indent="2"/>
    </xf>
    <xf numFmtId="0" fontId="12" fillId="0" borderId="0" xfId="0" applyFont="1" applyFill="1" applyBorder="1" applyAlignment="1" applyProtection="1">
      <alignment horizontal="left" vertical="center"/>
    </xf>
    <xf numFmtId="0" fontId="14"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1" fillId="0" borderId="22" xfId="0" applyFont="1" applyBorder="1" applyProtection="1"/>
    <xf numFmtId="0" fontId="15" fillId="0" borderId="0" xfId="0" applyFont="1" applyFill="1" applyBorder="1" applyAlignment="1" applyProtection="1">
      <alignment horizontal="right" vertical="center"/>
    </xf>
    <xf numFmtId="0" fontId="11" fillId="0" borderId="0" xfId="0" applyFont="1" applyBorder="1" applyProtection="1"/>
    <xf numFmtId="0" fontId="0" fillId="0" borderId="23" xfId="0" applyFont="1" applyBorder="1" applyProtection="1"/>
    <xf numFmtId="0" fontId="0" fillId="0" borderId="5" xfId="0" applyFont="1" applyBorder="1" applyProtection="1"/>
    <xf numFmtId="0" fontId="12" fillId="0" borderId="5" xfId="0" applyFont="1" applyFill="1" applyBorder="1" applyAlignment="1" applyProtection="1">
      <alignment horizontal="right" vertical="center"/>
    </xf>
    <xf numFmtId="0" fontId="0" fillId="0" borderId="24" xfId="0" applyFont="1" applyBorder="1" applyProtection="1"/>
    <xf numFmtId="0" fontId="14" fillId="0" borderId="0" xfId="4" applyFont="1" applyAlignment="1" applyProtection="1">
      <alignment vertical="center"/>
    </xf>
    <xf numFmtId="0" fontId="14" fillId="0" borderId="0" xfId="0" applyNumberFormat="1" applyFont="1" applyFill="1" applyBorder="1" applyAlignment="1" applyProtection="1">
      <alignment horizontal="right" vertical="center"/>
    </xf>
    <xf numFmtId="0" fontId="11"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vertical="center"/>
    </xf>
    <xf numFmtId="0" fontId="15" fillId="0" borderId="0" xfId="0" applyNumberFormat="1" applyFont="1" applyFill="1" applyBorder="1" applyAlignment="1" applyProtection="1">
      <alignment vertical="center"/>
    </xf>
    <xf numFmtId="169" fontId="12" fillId="7" borderId="6" xfId="0" applyNumberFormat="1" applyFont="1" applyFill="1" applyBorder="1" applyAlignment="1" applyProtection="1">
      <alignment horizontal="center" vertical="center"/>
      <protection locked="0"/>
    </xf>
    <xf numFmtId="49" fontId="12" fillId="7" borderId="8" xfId="0" applyNumberFormat="1" applyFont="1" applyFill="1" applyBorder="1" applyAlignment="1" applyProtection="1">
      <alignment horizontal="center" vertical="center"/>
      <protection locked="0"/>
    </xf>
    <xf numFmtId="170" fontId="12" fillId="0" borderId="0" xfId="1" applyNumberFormat="1" applyFont="1" applyFill="1" applyAlignment="1" applyProtection="1">
      <alignment horizontal="center" vertical="center"/>
    </xf>
    <xf numFmtId="169" fontId="12" fillId="0" borderId="6" xfId="0" applyNumberFormat="1" applyFont="1" applyFill="1" applyBorder="1" applyAlignment="1" applyProtection="1">
      <alignment horizontal="center" vertical="center"/>
    </xf>
    <xf numFmtId="49" fontId="12" fillId="0" borderId="8" xfId="0" applyNumberFormat="1" applyFont="1" applyFill="1" applyBorder="1" applyAlignment="1" applyProtection="1">
      <alignment horizontal="center" vertical="center"/>
    </xf>
    <xf numFmtId="169" fontId="12" fillId="7" borderId="10" xfId="0" applyNumberFormat="1" applyFont="1" applyFill="1" applyBorder="1" applyAlignment="1" applyProtection="1">
      <alignment horizontal="center" vertical="center"/>
      <protection locked="0"/>
    </xf>
    <xf numFmtId="49" fontId="12" fillId="7" borderId="12" xfId="0" applyNumberFormat="1" applyFont="1" applyFill="1" applyBorder="1" applyAlignment="1" applyProtection="1">
      <alignment horizontal="center" vertical="center"/>
      <protection locked="0"/>
    </xf>
    <xf numFmtId="169" fontId="12" fillId="0" borderId="10" xfId="0" applyNumberFormat="1" applyFont="1" applyFill="1" applyBorder="1" applyAlignment="1" applyProtection="1">
      <alignment horizontal="center" vertical="center"/>
    </xf>
    <xf numFmtId="49" fontId="12" fillId="0" borderId="12" xfId="0" applyNumberFormat="1" applyFont="1" applyFill="1" applyBorder="1" applyAlignment="1" applyProtection="1">
      <alignment horizontal="center" vertical="center"/>
    </xf>
    <xf numFmtId="170" fontId="12" fillId="0" borderId="0" xfId="1" applyNumberFormat="1" applyFont="1" applyFill="1" applyBorder="1" applyAlignment="1" applyProtection="1">
      <alignment horizontal="center" vertical="center"/>
    </xf>
    <xf numFmtId="0" fontId="11" fillId="0" borderId="0" xfId="0" applyFont="1" applyAlignment="1" applyProtection="1">
      <alignment horizontal="right" vertical="center"/>
    </xf>
    <xf numFmtId="170" fontId="11" fillId="0" borderId="0" xfId="1" applyNumberFormat="1" applyFont="1" applyFill="1" applyBorder="1" applyAlignment="1" applyProtection="1">
      <alignment horizontal="center" vertical="center"/>
    </xf>
    <xf numFmtId="0" fontId="0" fillId="0" borderId="0" xfId="0" applyFont="1" applyFill="1" applyProtection="1">
      <protection locked="0"/>
    </xf>
    <xf numFmtId="0" fontId="17" fillId="0" borderId="0" xfId="0" applyFont="1" applyProtection="1"/>
    <xf numFmtId="0" fontId="14" fillId="0" borderId="0" xfId="0" applyNumberFormat="1" applyFont="1" applyFill="1" applyBorder="1" applyAlignment="1" applyProtection="1">
      <alignment vertical="center"/>
      <protection locked="0"/>
    </xf>
    <xf numFmtId="0" fontId="12" fillId="0" borderId="0" xfId="0" applyNumberFormat="1" applyFont="1" applyFill="1" applyBorder="1" applyAlignment="1" applyProtection="1">
      <alignment vertical="center"/>
      <protection locked="0"/>
    </xf>
    <xf numFmtId="0" fontId="0" fillId="0" borderId="0" xfId="0" applyFont="1" applyBorder="1" applyProtection="1">
      <protection locked="0"/>
    </xf>
    <xf numFmtId="0" fontId="12" fillId="0" borderId="0" xfId="0" applyNumberFormat="1" applyFont="1" applyFill="1" applyBorder="1" applyAlignment="1" applyProtection="1">
      <alignment horizontal="right" vertical="center"/>
      <protection locked="0"/>
    </xf>
    <xf numFmtId="0" fontId="0" fillId="0" borderId="0" xfId="0" applyBorder="1" applyProtection="1">
      <protection locked="0"/>
    </xf>
    <xf numFmtId="0" fontId="0" fillId="0" borderId="0" xfId="0" applyProtection="1">
      <protection locked="0"/>
    </xf>
    <xf numFmtId="4" fontId="12" fillId="9" borderId="6" xfId="0" applyNumberFormat="1" applyFont="1" applyFill="1" applyBorder="1" applyAlignment="1" applyProtection="1">
      <alignment vertical="center"/>
    </xf>
    <xf numFmtId="4" fontId="12" fillId="9" borderId="7" xfId="0" applyNumberFormat="1" applyFont="1" applyFill="1" applyBorder="1" applyAlignment="1" applyProtection="1">
      <alignment vertical="center"/>
    </xf>
    <xf numFmtId="4" fontId="12" fillId="9" borderId="8" xfId="0" applyNumberFormat="1" applyFont="1" applyFill="1" applyBorder="1" applyAlignment="1" applyProtection="1">
      <alignment vertical="center"/>
    </xf>
    <xf numFmtId="4" fontId="12" fillId="9" borderId="9" xfId="0" applyNumberFormat="1" applyFont="1" applyFill="1" applyBorder="1" applyAlignment="1" applyProtection="1">
      <alignment vertical="center"/>
    </xf>
    <xf numFmtId="4" fontId="12" fillId="10" borderId="0" xfId="0" applyNumberFormat="1" applyFont="1" applyFill="1" applyBorder="1" applyAlignment="1" applyProtection="1">
      <alignment vertical="center"/>
    </xf>
    <xf numFmtId="4" fontId="12" fillId="9" borderId="10" xfId="0" applyNumberFormat="1" applyFont="1" applyFill="1" applyBorder="1" applyAlignment="1" applyProtection="1">
      <alignment vertical="center"/>
    </xf>
    <xf numFmtId="4" fontId="12" fillId="9" borderId="11" xfId="0" applyNumberFormat="1" applyFont="1" applyFill="1" applyBorder="1" applyAlignment="1" applyProtection="1">
      <alignment vertical="center"/>
    </xf>
    <xf numFmtId="4" fontId="12" fillId="9" borderId="12" xfId="0" applyNumberFormat="1" applyFont="1" applyFill="1" applyBorder="1" applyAlignment="1" applyProtection="1">
      <alignment vertical="center"/>
    </xf>
    <xf numFmtId="4" fontId="12" fillId="9" borderId="13" xfId="0" applyNumberFormat="1" applyFont="1" applyFill="1" applyBorder="1" applyAlignment="1" applyProtection="1">
      <alignment vertical="center"/>
    </xf>
    <xf numFmtId="4" fontId="12" fillId="9" borderId="14" xfId="0" applyNumberFormat="1" applyFont="1" applyFill="1" applyBorder="1" applyAlignment="1" applyProtection="1">
      <alignment vertical="center"/>
    </xf>
    <xf numFmtId="4" fontId="12" fillId="9" borderId="15" xfId="0" applyNumberFormat="1" applyFont="1" applyFill="1" applyBorder="1" applyAlignment="1" applyProtection="1">
      <alignment vertical="center"/>
    </xf>
    <xf numFmtId="4" fontId="12" fillId="9" borderId="16" xfId="0" applyNumberFormat="1" applyFont="1" applyFill="1" applyBorder="1" applyAlignment="1" applyProtection="1">
      <alignment vertical="center"/>
    </xf>
    <xf numFmtId="4" fontId="12" fillId="10" borderId="17" xfId="0" applyNumberFormat="1" applyFont="1" applyFill="1" applyBorder="1" applyAlignment="1" applyProtection="1">
      <alignment vertical="center"/>
    </xf>
    <xf numFmtId="4" fontId="12" fillId="10" borderId="9" xfId="0" applyNumberFormat="1" applyFont="1" applyFill="1" applyBorder="1" applyAlignment="1" applyProtection="1">
      <alignment vertical="center"/>
    </xf>
    <xf numFmtId="4" fontId="12" fillId="10" borderId="13" xfId="0" applyNumberFormat="1" applyFont="1" applyFill="1" applyBorder="1" applyAlignment="1" applyProtection="1">
      <alignment vertical="center"/>
    </xf>
    <xf numFmtId="0" fontId="0" fillId="0" borderId="0" xfId="0" applyFont="1" applyAlignment="1" applyProtection="1">
      <alignment vertical="center"/>
      <protection locked="0"/>
    </xf>
    <xf numFmtId="4" fontId="12" fillId="0" borderId="0" xfId="5" applyNumberFormat="1" applyFont="1" applyFill="1" applyAlignment="1" applyProtection="1">
      <alignment vertical="center"/>
    </xf>
    <xf numFmtId="0" fontId="12" fillId="0" borderId="0" xfId="0" applyFont="1" applyAlignment="1" applyProtection="1">
      <alignment horizontal="right" vertical="center"/>
      <protection locked="0"/>
    </xf>
    <xf numFmtId="4" fontId="12" fillId="0" borderId="5" xfId="5" applyNumberFormat="1" applyFont="1" applyFill="1" applyBorder="1" applyAlignment="1" applyProtection="1">
      <alignment vertical="center"/>
    </xf>
    <xf numFmtId="0" fontId="0" fillId="0" borderId="0" xfId="0" applyFont="1" applyFill="1" applyAlignment="1" applyProtection="1">
      <alignment vertical="center"/>
      <protection locked="0"/>
    </xf>
    <xf numFmtId="4" fontId="12" fillId="10" borderId="0" xfId="8" applyNumberFormat="1" applyFont="1" applyFill="1" applyAlignment="1" applyProtection="1">
      <alignment vertical="center"/>
    </xf>
    <xf numFmtId="4" fontId="12" fillId="10" borderId="0" xfId="0" applyNumberFormat="1" applyFont="1" applyFill="1" applyAlignment="1" applyProtection="1">
      <alignment vertical="center"/>
    </xf>
    <xf numFmtId="43" fontId="12" fillId="0" borderId="0" xfId="9" applyNumberFormat="1" applyFont="1" applyFill="1" applyAlignment="1" applyProtection="1">
      <alignment vertical="center"/>
      <protection locked="0"/>
    </xf>
    <xf numFmtId="0" fontId="15" fillId="0" borderId="0" xfId="0" applyFont="1" applyFill="1" applyBorder="1" applyAlignment="1" applyProtection="1">
      <alignment horizontal="right" vertical="center"/>
      <protection locked="0"/>
    </xf>
    <xf numFmtId="4" fontId="12" fillId="10" borderId="6" xfId="0" applyNumberFormat="1" applyFont="1" applyFill="1" applyBorder="1" applyAlignment="1" applyProtection="1">
      <alignment vertical="center"/>
    </xf>
    <xf numFmtId="4" fontId="12" fillId="10" borderId="8" xfId="0" applyNumberFormat="1" applyFont="1" applyFill="1" applyBorder="1" applyAlignment="1" applyProtection="1">
      <alignment vertical="center"/>
    </xf>
    <xf numFmtId="169" fontId="12" fillId="9" borderId="6" xfId="0" applyNumberFormat="1" applyFont="1" applyFill="1" applyBorder="1" applyAlignment="1" applyProtection="1">
      <alignment horizontal="center" vertical="center"/>
    </xf>
    <xf numFmtId="49" fontId="12" fillId="9" borderId="8" xfId="0" applyNumberFormat="1" applyFont="1" applyFill="1" applyBorder="1" applyAlignment="1" applyProtection="1">
      <alignment horizontal="center" vertical="center"/>
    </xf>
    <xf numFmtId="169" fontId="12" fillId="9" borderId="10" xfId="0" applyNumberFormat="1" applyFont="1" applyFill="1" applyBorder="1" applyAlignment="1" applyProtection="1">
      <alignment horizontal="center" vertical="center"/>
    </xf>
    <xf numFmtId="49" fontId="12" fillId="9" borderId="12" xfId="0" applyNumberFormat="1" applyFont="1" applyFill="1" applyBorder="1" applyAlignment="1" applyProtection="1">
      <alignment horizontal="center" vertical="center"/>
    </xf>
    <xf numFmtId="170" fontId="12" fillId="0" borderId="5" xfId="1" applyNumberFormat="1" applyFont="1" applyFill="1" applyBorder="1" applyAlignment="1" applyProtection="1">
      <alignment horizontal="center" vertical="center"/>
    </xf>
    <xf numFmtId="170" fontId="11" fillId="10" borderId="19" xfId="1" applyNumberFormat="1" applyFont="1" applyFill="1" applyBorder="1" applyAlignment="1" applyProtection="1">
      <alignment horizontal="center" vertical="center"/>
    </xf>
    <xf numFmtId="0" fontId="19" fillId="0" borderId="0" xfId="4" applyFont="1" applyAlignment="1" applyProtection="1">
      <alignment horizontal="left" vertical="center"/>
    </xf>
    <xf numFmtId="0" fontId="19" fillId="0" borderId="0" xfId="4" applyFont="1" applyBorder="1" applyAlignment="1" applyProtection="1">
      <alignment vertical="center"/>
    </xf>
    <xf numFmtId="0" fontId="19" fillId="0" borderId="0" xfId="4" applyFont="1" applyAlignment="1" applyProtection="1">
      <alignment horizontal="right" vertical="center"/>
    </xf>
    <xf numFmtId="40" fontId="20" fillId="11" borderId="5" xfId="6" applyNumberFormat="1" applyFont="1" applyFill="1" applyBorder="1" applyAlignment="1" applyProtection="1">
      <alignment horizontal="center" vertical="center"/>
    </xf>
    <xf numFmtId="0" fontId="19" fillId="0" borderId="0" xfId="4" applyFont="1" applyBorder="1" applyAlignment="1" applyProtection="1">
      <alignment vertical="center"/>
      <protection locked="0"/>
    </xf>
    <xf numFmtId="0" fontId="18" fillId="0" borderId="0" xfId="4" applyFont="1" applyBorder="1" applyAlignment="1" applyProtection="1">
      <alignment vertical="center"/>
    </xf>
    <xf numFmtId="0" fontId="22" fillId="0" borderId="0" xfId="4" applyFont="1" applyBorder="1" applyAlignment="1" applyProtection="1">
      <alignment horizontal="center" vertical="center"/>
    </xf>
    <xf numFmtId="0" fontId="20" fillId="11" borderId="25" xfId="4" applyFont="1" applyFill="1" applyBorder="1" applyAlignment="1" applyProtection="1">
      <alignment horizontal="center" vertical="center"/>
    </xf>
    <xf numFmtId="0" fontId="22" fillId="0" borderId="0" xfId="4" applyFont="1" applyAlignment="1" applyProtection="1">
      <alignment vertical="center"/>
    </xf>
    <xf numFmtId="0" fontId="22" fillId="0" borderId="0" xfId="4" applyFont="1" applyAlignment="1" applyProtection="1">
      <alignment horizontal="center" vertical="center"/>
    </xf>
    <xf numFmtId="0" fontId="22" fillId="0" borderId="0" xfId="4" applyFont="1" applyAlignment="1" applyProtection="1">
      <alignment vertical="center"/>
      <protection locked="0"/>
    </xf>
    <xf numFmtId="0" fontId="22" fillId="0" borderId="26" xfId="4" quotePrefix="1" applyFont="1" applyBorder="1" applyAlignment="1" applyProtection="1">
      <alignment horizontal="left" vertical="center"/>
    </xf>
    <xf numFmtId="0" fontId="22" fillId="0" borderId="27" xfId="4" applyFont="1" applyBorder="1" applyAlignment="1" applyProtection="1">
      <alignment vertical="center"/>
    </xf>
    <xf numFmtId="0" fontId="22" fillId="0" borderId="28" xfId="4" applyFont="1" applyBorder="1" applyAlignment="1" applyProtection="1">
      <alignment vertical="center"/>
    </xf>
    <xf numFmtId="0" fontId="18" fillId="0" borderId="29" xfId="4" applyFont="1" applyBorder="1" applyAlignment="1" applyProtection="1">
      <alignment vertical="center"/>
    </xf>
    <xf numFmtId="0" fontId="22" fillId="0" borderId="0" xfId="4" applyFont="1" applyBorder="1" applyAlignment="1" applyProtection="1">
      <alignment vertical="center" wrapText="1"/>
    </xf>
    <xf numFmtId="40" fontId="20" fillId="11" borderId="30" xfId="6" applyNumberFormat="1" applyFont="1" applyFill="1" applyBorder="1" applyAlignment="1" applyProtection="1">
      <alignment horizontal="center" vertical="center"/>
    </xf>
    <xf numFmtId="0" fontId="22" fillId="0" borderId="29" xfId="4" applyFont="1" applyBorder="1" applyAlignment="1" applyProtection="1">
      <alignment vertical="center" wrapText="1"/>
    </xf>
    <xf numFmtId="0" fontId="18" fillId="0" borderId="30" xfId="4" applyFont="1" applyBorder="1" applyAlignment="1" applyProtection="1">
      <alignment horizontal="center" vertical="center"/>
    </xf>
    <xf numFmtId="40" fontId="20" fillId="7" borderId="30" xfId="6" applyNumberFormat="1" applyFont="1" applyFill="1" applyBorder="1" applyAlignment="1" applyProtection="1">
      <alignment horizontal="center" vertical="center"/>
      <protection locked="0"/>
    </xf>
    <xf numFmtId="0" fontId="22" fillId="0" borderId="31" xfId="4" applyFont="1" applyBorder="1" applyAlignment="1" applyProtection="1">
      <alignment vertical="center" wrapText="1"/>
    </xf>
    <xf numFmtId="0" fontId="22" fillId="0" borderId="32" xfId="4" applyFont="1" applyBorder="1" applyAlignment="1" applyProtection="1">
      <alignment vertical="center" wrapText="1"/>
    </xf>
    <xf numFmtId="0" fontId="22" fillId="0" borderId="33" xfId="4" applyFont="1" applyBorder="1" applyAlignment="1" applyProtection="1">
      <alignment vertical="center"/>
    </xf>
    <xf numFmtId="0" fontId="22" fillId="0" borderId="0" xfId="4" applyFont="1" applyAlignment="1" applyProtection="1">
      <alignment horizontal="center"/>
    </xf>
    <xf numFmtId="0" fontId="18" fillId="0" borderId="0" xfId="4" applyFont="1" applyAlignment="1" applyProtection="1">
      <alignment horizontal="center"/>
    </xf>
    <xf numFmtId="0" fontId="23" fillId="0" borderId="0" xfId="4" applyFont="1" applyAlignment="1" applyProtection="1">
      <alignment horizontal="right"/>
    </xf>
    <xf numFmtId="0" fontId="23" fillId="0" borderId="0" xfId="4" applyFont="1" applyAlignment="1" applyProtection="1">
      <alignment horizontal="center" vertical="center"/>
    </xf>
    <xf numFmtId="0" fontId="22" fillId="0" borderId="0" xfId="4" applyFont="1" applyAlignment="1" applyProtection="1"/>
    <xf numFmtId="0" fontId="22" fillId="0" borderId="0" xfId="4" applyFont="1" applyAlignment="1" applyProtection="1">
      <protection locked="0"/>
    </xf>
    <xf numFmtId="0" fontId="22" fillId="0" borderId="0" xfId="4" applyFont="1" applyAlignment="1" applyProtection="1">
      <alignment horizontal="center"/>
      <protection locked="0"/>
    </xf>
    <xf numFmtId="0" fontId="22" fillId="0" borderId="0" xfId="4" applyFont="1" applyAlignment="1" applyProtection="1">
      <alignment horizontal="center" vertical="top"/>
    </xf>
    <xf numFmtId="0" fontId="18" fillId="0" borderId="0" xfId="4" quotePrefix="1" applyFont="1" applyAlignment="1" applyProtection="1">
      <alignment horizontal="center" vertical="top"/>
    </xf>
    <xf numFmtId="0" fontId="18" fillId="0" borderId="0" xfId="4" applyFont="1" applyAlignment="1" applyProtection="1">
      <alignment horizontal="center" vertical="top"/>
    </xf>
    <xf numFmtId="0" fontId="23" fillId="0" borderId="0" xfId="4" quotePrefix="1" applyFont="1" applyAlignment="1" applyProtection="1">
      <alignment horizontal="right" vertical="top"/>
    </xf>
    <xf numFmtId="0" fontId="22" fillId="0" borderId="0" xfId="4" applyFont="1" applyAlignment="1" applyProtection="1">
      <alignment vertical="top"/>
    </xf>
    <xf numFmtId="0" fontId="22" fillId="0" borderId="0" xfId="4" applyFont="1" applyAlignment="1" applyProtection="1">
      <alignment vertical="top"/>
      <protection locked="0"/>
    </xf>
    <xf numFmtId="0" fontId="22" fillId="0" borderId="0" xfId="4" applyFont="1" applyAlignment="1" applyProtection="1">
      <alignment horizontal="center" vertical="top"/>
      <protection locked="0"/>
    </xf>
    <xf numFmtId="0" fontId="21" fillId="0" borderId="0" xfId="4" quotePrefix="1" applyFont="1" applyAlignment="1" applyProtection="1">
      <alignment horizontal="left" vertical="center"/>
    </xf>
    <xf numFmtId="0" fontId="23" fillId="0" borderId="0" xfId="4" quotePrefix="1" applyFont="1" applyAlignment="1" applyProtection="1">
      <alignment horizontal="center" vertical="center"/>
    </xf>
    <xf numFmtId="0" fontId="18" fillId="0" borderId="0" xfId="4" applyFont="1" applyAlignment="1" applyProtection="1">
      <alignment horizontal="center" vertical="center"/>
    </xf>
    <xf numFmtId="0" fontId="22" fillId="0" borderId="0" xfId="4" applyFont="1" applyAlignment="1" applyProtection="1">
      <alignment horizontal="center" vertical="center"/>
      <protection locked="0"/>
    </xf>
    <xf numFmtId="0" fontId="22" fillId="0" borderId="0" xfId="4" applyFont="1" applyAlignment="1" applyProtection="1">
      <alignment horizontal="right" vertical="center"/>
    </xf>
    <xf numFmtId="40" fontId="22" fillId="10" borderId="0" xfId="4" applyNumberFormat="1" applyFont="1" applyFill="1" applyAlignment="1" applyProtection="1">
      <alignment vertical="center"/>
    </xf>
    <xf numFmtId="40" fontId="22" fillId="0" borderId="0" xfId="4" applyNumberFormat="1" applyFont="1" applyAlignment="1" applyProtection="1">
      <alignment vertical="center"/>
    </xf>
    <xf numFmtId="40" fontId="22" fillId="0" borderId="0" xfId="6" applyNumberFormat="1" applyFont="1" applyAlignment="1" applyProtection="1">
      <alignment vertical="center"/>
    </xf>
    <xf numFmtId="0" fontId="21" fillId="0" borderId="0" xfId="4" applyFont="1" applyAlignment="1" applyProtection="1">
      <alignment vertical="center"/>
    </xf>
    <xf numFmtId="0" fontId="21" fillId="0" borderId="0" xfId="4" applyFont="1" applyAlignment="1" applyProtection="1">
      <alignment horizontal="left" vertical="center"/>
    </xf>
    <xf numFmtId="0" fontId="22" fillId="0" borderId="0" xfId="4" quotePrefix="1" applyFont="1" applyAlignment="1" applyProtection="1">
      <alignment horizontal="right" vertical="center"/>
    </xf>
    <xf numFmtId="40" fontId="22" fillId="0" borderId="0" xfId="4" applyNumberFormat="1" applyFont="1" applyFill="1" applyAlignment="1" applyProtection="1">
      <alignment vertical="center"/>
    </xf>
    <xf numFmtId="171" fontId="22" fillId="0" borderId="0" xfId="5" applyNumberFormat="1" applyFont="1" applyAlignment="1" applyProtection="1">
      <alignment vertical="center"/>
    </xf>
    <xf numFmtId="170" fontId="24" fillId="0" borderId="0" xfId="5" applyNumberFormat="1" applyFont="1" applyAlignment="1" applyProtection="1">
      <alignment horizontal="center" vertical="center"/>
    </xf>
    <xf numFmtId="170" fontId="22" fillId="0" borderId="0" xfId="5" applyNumberFormat="1" applyFont="1" applyAlignment="1" applyProtection="1">
      <alignment vertical="center"/>
      <protection locked="0"/>
    </xf>
    <xf numFmtId="40" fontId="22" fillId="0" borderId="0" xfId="4" applyNumberFormat="1" applyFont="1" applyFill="1" applyBorder="1" applyAlignment="1" applyProtection="1">
      <alignment vertical="center"/>
    </xf>
    <xf numFmtId="40" fontId="22" fillId="0" borderId="0" xfId="4" applyNumberFormat="1" applyFont="1" applyBorder="1" applyAlignment="1" applyProtection="1">
      <alignment vertical="center"/>
    </xf>
    <xf numFmtId="0" fontId="22" fillId="0" borderId="0" xfId="4" applyFont="1" applyBorder="1" applyAlignment="1" applyProtection="1">
      <alignment vertical="center"/>
    </xf>
    <xf numFmtId="0" fontId="18" fillId="0" borderId="0" xfId="4" applyFont="1" applyAlignment="1" applyProtection="1">
      <alignment horizontal="right" vertical="center"/>
    </xf>
    <xf numFmtId="0" fontId="22" fillId="0" borderId="0" xfId="4" quotePrefix="1" applyFont="1" applyAlignment="1" applyProtection="1">
      <alignment horizontal="left" vertical="center"/>
    </xf>
    <xf numFmtId="40" fontId="22" fillId="0" borderId="5" xfId="4" applyNumberFormat="1" applyFont="1" applyBorder="1" applyAlignment="1" applyProtection="1">
      <alignment vertical="center"/>
    </xf>
    <xf numFmtId="40" fontId="24" fillId="0" borderId="0" xfId="5" applyFont="1" applyAlignment="1" applyProtection="1">
      <alignment horizontal="center" vertical="center"/>
    </xf>
    <xf numFmtId="0" fontId="20" fillId="0" borderId="0" xfId="4" applyFont="1" applyAlignment="1" applyProtection="1">
      <alignment horizontal="right" vertical="center"/>
    </xf>
    <xf numFmtId="40" fontId="25" fillId="10" borderId="0" xfId="6" applyNumberFormat="1" applyFont="1" applyFill="1" applyAlignment="1" applyProtection="1">
      <alignment vertical="center"/>
    </xf>
    <xf numFmtId="0" fontId="23" fillId="0" borderId="0" xfId="4" applyFont="1" applyAlignment="1" applyProtection="1">
      <alignment vertical="center"/>
    </xf>
    <xf numFmtId="40" fontId="25" fillId="0" borderId="0" xfId="4" applyNumberFormat="1" applyFont="1" applyAlignment="1" applyProtection="1">
      <alignment vertical="center"/>
    </xf>
    <xf numFmtId="0" fontId="18" fillId="0" borderId="0" xfId="4" applyFont="1" applyAlignment="1" applyProtection="1">
      <alignment horizontal="right"/>
    </xf>
    <xf numFmtId="0" fontId="23" fillId="0" borderId="0" xfId="4" quotePrefix="1" applyFont="1" applyAlignment="1" applyProtection="1">
      <alignment horizontal="right" vertical="center"/>
    </xf>
    <xf numFmtId="170" fontId="18" fillId="0" borderId="0" xfId="5" applyNumberFormat="1" applyFont="1" applyAlignment="1" applyProtection="1">
      <alignment horizontal="center" vertical="center"/>
    </xf>
    <xf numFmtId="0" fontId="18" fillId="0" borderId="0" xfId="4" applyFont="1" applyAlignment="1" applyProtection="1">
      <alignment horizontal="right" vertical="top"/>
    </xf>
    <xf numFmtId="0" fontId="23" fillId="0" borderId="0" xfId="4" applyFont="1" applyAlignment="1" applyProtection="1">
      <alignment horizontal="right" vertical="top"/>
    </xf>
    <xf numFmtId="165" fontId="22" fillId="7" borderId="0" xfId="4" applyNumberFormat="1" applyFont="1" applyFill="1" applyAlignment="1" applyProtection="1">
      <alignment vertical="center"/>
      <protection locked="0"/>
    </xf>
    <xf numFmtId="2" fontId="22" fillId="11" borderId="0" xfId="4" applyNumberFormat="1" applyFont="1" applyFill="1" applyAlignment="1" applyProtection="1">
      <alignment vertical="center"/>
    </xf>
    <xf numFmtId="0" fontId="26" fillId="0" borderId="0" xfId="4" applyFont="1" applyAlignment="1" applyProtection="1">
      <alignment horizontal="left" vertical="center" indent="2"/>
    </xf>
    <xf numFmtId="170" fontId="22" fillId="0" borderId="0" xfId="4" applyNumberFormat="1" applyFont="1" applyAlignment="1" applyProtection="1">
      <alignment vertical="center"/>
    </xf>
    <xf numFmtId="172" fontId="22" fillId="0" borderId="0" xfId="4" applyNumberFormat="1" applyFont="1" applyAlignment="1" applyProtection="1">
      <alignment vertical="center"/>
    </xf>
    <xf numFmtId="172" fontId="26" fillId="0" borderId="0" xfId="4" applyNumberFormat="1" applyFont="1" applyAlignment="1" applyProtection="1">
      <alignment horizontal="right" vertical="center"/>
    </xf>
    <xf numFmtId="0" fontId="26" fillId="0" borderId="0" xfId="4" applyFont="1" applyAlignment="1" applyProtection="1">
      <alignment horizontal="right" vertical="center"/>
    </xf>
    <xf numFmtId="4" fontId="22" fillId="10" borderId="0" xfId="6" applyNumberFormat="1" applyFont="1" applyFill="1" applyBorder="1" applyAlignment="1" applyProtection="1">
      <alignment vertical="center"/>
    </xf>
    <xf numFmtId="172" fontId="22" fillId="0" borderId="0" xfId="5" applyNumberFormat="1" applyFont="1" applyAlignment="1" applyProtection="1">
      <alignment vertical="center"/>
    </xf>
    <xf numFmtId="170" fontId="22" fillId="0" borderId="0" xfId="5" applyNumberFormat="1" applyFont="1" applyAlignment="1" applyProtection="1">
      <alignment vertical="center"/>
    </xf>
    <xf numFmtId="170" fontId="18" fillId="0" borderId="0" xfId="4" applyNumberFormat="1" applyFont="1" applyAlignment="1" applyProtection="1">
      <alignment horizontal="center" vertical="center"/>
    </xf>
    <xf numFmtId="170" fontId="22" fillId="0" borderId="0" xfId="4" applyNumberFormat="1" applyFont="1" applyAlignment="1" applyProtection="1">
      <alignment horizontal="center" vertical="center"/>
    </xf>
    <xf numFmtId="0" fontId="26" fillId="0" borderId="0" xfId="4" applyFont="1" applyAlignment="1" applyProtection="1">
      <alignment horizontal="left" vertical="center"/>
    </xf>
    <xf numFmtId="0" fontId="26" fillId="5" borderId="0" xfId="4" applyFont="1" applyFill="1" applyAlignment="1" applyProtection="1">
      <alignment horizontal="right" vertical="center"/>
    </xf>
    <xf numFmtId="4" fontId="22" fillId="7" borderId="0" xfId="6" applyNumberFormat="1" applyFont="1" applyFill="1" applyBorder="1" applyAlignment="1" applyProtection="1">
      <alignment vertical="center"/>
      <protection locked="0"/>
    </xf>
    <xf numFmtId="173" fontId="22" fillId="0" borderId="0" xfId="4" applyNumberFormat="1" applyFont="1" applyAlignment="1" applyProtection="1">
      <alignment vertical="center"/>
    </xf>
    <xf numFmtId="0" fontId="28" fillId="0" borderId="0" xfId="4" applyFont="1" applyAlignment="1" applyProtection="1">
      <alignment vertical="center"/>
    </xf>
    <xf numFmtId="0" fontId="21" fillId="0" borderId="0" xfId="4" quotePrefix="1" applyFont="1" applyAlignment="1" applyProtection="1">
      <alignment horizontal="left"/>
    </xf>
    <xf numFmtId="0" fontId="22" fillId="0" borderId="0" xfId="4" applyFont="1" applyAlignment="1" applyProtection="1">
      <alignment horizontal="right"/>
    </xf>
    <xf numFmtId="170" fontId="22" fillId="0" borderId="0" xfId="4" applyNumberFormat="1" applyFont="1" applyAlignment="1" applyProtection="1"/>
    <xf numFmtId="0" fontId="26" fillId="0" borderId="0" xfId="4" applyFont="1" applyAlignment="1" applyProtection="1">
      <alignment horizontal="center" vertical="center"/>
    </xf>
    <xf numFmtId="38" fontId="22" fillId="0" borderId="0" xfId="5" applyNumberFormat="1" applyFont="1" applyFill="1" applyAlignment="1" applyProtection="1">
      <alignment horizontal="center" vertical="center"/>
    </xf>
    <xf numFmtId="40" fontId="25" fillId="0" borderId="0" xfId="5" applyNumberFormat="1" applyFont="1" applyFill="1" applyAlignment="1" applyProtection="1">
      <alignment vertical="center"/>
    </xf>
    <xf numFmtId="40" fontId="22" fillId="0" borderId="0" xfId="5" applyNumberFormat="1" applyFont="1" applyFill="1" applyAlignment="1" applyProtection="1">
      <alignment vertical="center"/>
    </xf>
    <xf numFmtId="40" fontId="25" fillId="0" borderId="5" xfId="5" applyNumberFormat="1" applyFont="1" applyFill="1" applyBorder="1" applyAlignment="1" applyProtection="1">
      <alignment vertical="center"/>
    </xf>
    <xf numFmtId="40" fontId="22" fillId="0" borderId="5" xfId="5" applyNumberFormat="1" applyFont="1" applyFill="1" applyBorder="1" applyAlignment="1" applyProtection="1">
      <alignment vertical="center"/>
    </xf>
    <xf numFmtId="165" fontId="22" fillId="0" borderId="0" xfId="5" applyNumberFormat="1" applyFont="1" applyAlignment="1" applyProtection="1">
      <alignment vertical="center"/>
    </xf>
    <xf numFmtId="4" fontId="22" fillId="11" borderId="0" xfId="6" applyNumberFormat="1" applyFont="1" applyFill="1" applyBorder="1" applyAlignment="1" applyProtection="1">
      <alignment vertical="center"/>
    </xf>
    <xf numFmtId="40" fontId="22" fillId="0" borderId="0" xfId="5" applyFont="1" applyFill="1" applyBorder="1" applyAlignment="1" applyProtection="1">
      <alignment vertical="center"/>
    </xf>
    <xf numFmtId="165" fontId="22" fillId="0" borderId="0" xfId="4" applyNumberFormat="1" applyFont="1" applyAlignment="1" applyProtection="1">
      <alignment vertical="center"/>
    </xf>
    <xf numFmtId="165" fontId="18" fillId="0" borderId="0" xfId="4" applyNumberFormat="1" applyFont="1" applyAlignment="1" applyProtection="1">
      <alignment horizontal="center" vertical="center"/>
    </xf>
    <xf numFmtId="0" fontId="22" fillId="0" borderId="0" xfId="4" applyFont="1" applyFill="1" applyAlignment="1" applyProtection="1">
      <alignment vertical="center"/>
    </xf>
    <xf numFmtId="2" fontId="25" fillId="11" borderId="0" xfId="4" applyNumberFormat="1" applyFont="1" applyFill="1" applyAlignment="1" applyProtection="1">
      <alignment horizontal="center" vertical="center"/>
    </xf>
    <xf numFmtId="170" fontId="24" fillId="10" borderId="0" xfId="5" applyNumberFormat="1" applyFont="1" applyFill="1" applyAlignment="1" applyProtection="1">
      <alignment horizontal="center" vertical="center"/>
    </xf>
    <xf numFmtId="0" fontId="18" fillId="0" borderId="0" xfId="4" applyFont="1" applyFill="1" applyAlignment="1" applyProtection="1">
      <alignment horizontal="right" vertical="center"/>
    </xf>
    <xf numFmtId="174" fontId="22" fillId="0" borderId="0" xfId="4" applyNumberFormat="1" applyFont="1" applyFill="1" applyAlignment="1" applyProtection="1">
      <alignment vertical="center"/>
    </xf>
    <xf numFmtId="170" fontId="22" fillId="0" borderId="0" xfId="5" applyNumberFormat="1" applyFont="1" applyFill="1" applyBorder="1" applyAlignment="1" applyProtection="1">
      <alignment vertical="center"/>
    </xf>
    <xf numFmtId="0" fontId="22" fillId="0" borderId="0" xfId="4" applyFont="1" applyFill="1" applyAlignment="1" applyProtection="1">
      <alignment horizontal="center" vertical="center"/>
    </xf>
    <xf numFmtId="170" fontId="18" fillId="0" borderId="0" xfId="5" applyNumberFormat="1" applyFont="1" applyBorder="1" applyAlignment="1" applyProtection="1">
      <alignment horizontal="center" vertical="center"/>
    </xf>
    <xf numFmtId="0" fontId="22" fillId="0" borderId="0" xfId="4" applyFont="1" applyFill="1" applyAlignment="1" applyProtection="1">
      <alignment vertical="center"/>
      <protection locked="0"/>
    </xf>
    <xf numFmtId="0" fontId="22" fillId="0" borderId="0" xfId="4" applyFont="1" applyFill="1" applyAlignment="1" applyProtection="1">
      <alignment horizontal="right" vertical="center"/>
    </xf>
    <xf numFmtId="170" fontId="22" fillId="0" borderId="0" xfId="5" applyNumberFormat="1" applyFont="1" applyFill="1" applyAlignment="1" applyProtection="1">
      <alignment vertical="center"/>
    </xf>
    <xf numFmtId="0" fontId="29" fillId="0" borderId="0" xfId="4" applyFont="1" applyAlignment="1" applyProtection="1">
      <alignment horizontal="right" vertical="center"/>
    </xf>
    <xf numFmtId="174" fontId="18" fillId="0" borderId="0" xfId="4" applyNumberFormat="1" applyFont="1" applyAlignment="1" applyProtection="1">
      <alignment horizontal="center" vertical="center"/>
    </xf>
    <xf numFmtId="170" fontId="22" fillId="0" borderId="0" xfId="5" applyNumberFormat="1" applyFont="1" applyBorder="1" applyAlignment="1" applyProtection="1">
      <alignment vertical="center"/>
    </xf>
    <xf numFmtId="174" fontId="22" fillId="0" borderId="0" xfId="4" applyNumberFormat="1" applyFont="1" applyAlignment="1" applyProtection="1">
      <alignment vertical="center"/>
    </xf>
    <xf numFmtId="170" fontId="18" fillId="0" borderId="0" xfId="5" applyNumberFormat="1" applyFont="1" applyFill="1" applyAlignment="1" applyProtection="1">
      <alignment horizontal="center" vertical="center"/>
    </xf>
    <xf numFmtId="0" fontId="29" fillId="0" borderId="0" xfId="4" applyFont="1" applyFill="1" applyAlignment="1" applyProtection="1">
      <alignment horizontal="right" vertical="center"/>
    </xf>
    <xf numFmtId="170" fontId="22" fillId="0" borderId="0" xfId="5" applyNumberFormat="1" applyFont="1" applyBorder="1" applyAlignment="1" applyProtection="1">
      <alignment horizontal="right" vertical="center"/>
    </xf>
    <xf numFmtId="0" fontId="18" fillId="0" borderId="0" xfId="4" applyFont="1" applyAlignment="1" applyProtection="1">
      <alignment vertical="center"/>
    </xf>
    <xf numFmtId="0" fontId="22" fillId="0" borderId="0" xfId="4" applyFont="1" applyAlignment="1" applyProtection="1">
      <alignment horizontal="left" vertical="center" indent="1"/>
    </xf>
    <xf numFmtId="0" fontId="25" fillId="0" borderId="0" xfId="4" applyFont="1" applyAlignment="1" applyProtection="1">
      <alignment horizontal="right" vertical="center"/>
    </xf>
    <xf numFmtId="40" fontId="25" fillId="11" borderId="0" xfId="5" applyNumberFormat="1" applyFont="1" applyFill="1" applyAlignment="1" applyProtection="1">
      <alignment horizontal="center" vertical="center"/>
    </xf>
    <xf numFmtId="14" fontId="25" fillId="0" borderId="0" xfId="5" applyNumberFormat="1" applyFont="1" applyFill="1" applyAlignment="1" applyProtection="1">
      <alignment horizontal="center" vertical="center"/>
    </xf>
    <xf numFmtId="40" fontId="26" fillId="0" borderId="0" xfId="5" applyNumberFormat="1" applyFont="1" applyFill="1" applyAlignment="1" applyProtection="1">
      <alignment horizontal="right" vertical="center"/>
    </xf>
    <xf numFmtId="168" fontId="22" fillId="11" borderId="0" xfId="6" applyNumberFormat="1" applyFont="1" applyFill="1" applyBorder="1" applyAlignment="1" applyProtection="1">
      <alignment vertical="center"/>
    </xf>
    <xf numFmtId="0" fontId="22" fillId="0" borderId="0" xfId="4" applyFont="1" applyFill="1" applyBorder="1" applyAlignment="1" applyProtection="1">
      <alignment horizontal="right" vertical="center"/>
    </xf>
    <xf numFmtId="168" fontId="22" fillId="7" borderId="0" xfId="6" applyNumberFormat="1" applyFont="1" applyFill="1" applyBorder="1" applyAlignment="1" applyProtection="1">
      <alignment vertical="center"/>
      <protection locked="0"/>
    </xf>
    <xf numFmtId="170" fontId="18" fillId="0" borderId="0" xfId="4" applyNumberFormat="1" applyFont="1" applyBorder="1" applyAlignment="1" applyProtection="1">
      <alignment horizontal="center" vertical="center"/>
    </xf>
    <xf numFmtId="40" fontId="25" fillId="0" borderId="0" xfId="5" applyFont="1" applyFill="1" applyAlignment="1" applyProtection="1">
      <alignment horizontal="center" vertical="center"/>
    </xf>
    <xf numFmtId="0" fontId="26" fillId="0" borderId="29" xfId="4" applyFont="1" applyBorder="1" applyAlignment="1" applyProtection="1">
      <alignment vertical="center"/>
    </xf>
    <xf numFmtId="0" fontId="30" fillId="0" borderId="0" xfId="4" applyFont="1" applyBorder="1" applyAlignment="1" applyProtection="1">
      <alignment vertical="center"/>
    </xf>
    <xf numFmtId="4" fontId="22" fillId="0" borderId="30" xfId="6" applyNumberFormat="1" applyFont="1" applyFill="1" applyBorder="1" applyAlignment="1" applyProtection="1">
      <alignment vertical="center"/>
    </xf>
    <xf numFmtId="0" fontId="22" fillId="0" borderId="29" xfId="4" applyFont="1" applyBorder="1" applyAlignment="1" applyProtection="1">
      <alignment vertical="center"/>
    </xf>
    <xf numFmtId="0" fontId="22" fillId="0" borderId="30" xfId="4" applyFont="1" applyBorder="1" applyAlignment="1" applyProtection="1">
      <alignment vertical="center"/>
    </xf>
    <xf numFmtId="0" fontId="30" fillId="0" borderId="0" xfId="4" applyFont="1" applyBorder="1" applyAlignment="1" applyProtection="1">
      <alignment horizontal="left" vertical="center" indent="3"/>
    </xf>
    <xf numFmtId="4" fontId="22" fillId="7" borderId="30" xfId="6" applyNumberFormat="1" applyFont="1" applyFill="1" applyBorder="1" applyAlignment="1" applyProtection="1">
      <alignment vertical="center"/>
      <protection locked="0"/>
    </xf>
    <xf numFmtId="170" fontId="22" fillId="0" borderId="30" xfId="5" applyNumberFormat="1" applyFont="1" applyFill="1" applyBorder="1" applyAlignment="1" applyProtection="1">
      <alignment vertical="center"/>
    </xf>
    <xf numFmtId="0" fontId="31" fillId="0" borderId="29" xfId="4" applyFont="1" applyBorder="1" applyAlignment="1" applyProtection="1">
      <alignment horizontal="left" vertical="center"/>
    </xf>
    <xf numFmtId="0" fontId="18" fillId="0" borderId="29" xfId="4" applyFont="1" applyBorder="1" applyAlignment="1" applyProtection="1">
      <alignment horizontal="left" vertical="center" indent="1"/>
    </xf>
    <xf numFmtId="0" fontId="22" fillId="0" borderId="0" xfId="4" applyFont="1" applyBorder="1" applyAlignment="1" applyProtection="1">
      <alignment horizontal="left" vertical="center" indent="2"/>
    </xf>
    <xf numFmtId="170" fontId="22" fillId="0" borderId="30" xfId="4" applyNumberFormat="1" applyFont="1" applyBorder="1" applyAlignment="1" applyProtection="1">
      <alignment vertical="center"/>
    </xf>
    <xf numFmtId="0" fontId="26" fillId="0" borderId="29" xfId="4" applyFont="1" applyBorder="1" applyAlignment="1" applyProtection="1">
      <alignment horizontal="left" vertical="center" indent="2"/>
    </xf>
    <xf numFmtId="0" fontId="22" fillId="0" borderId="30" xfId="4" applyFont="1" applyBorder="1" applyAlignment="1" applyProtection="1">
      <alignment horizontal="left" vertical="center"/>
    </xf>
    <xf numFmtId="0" fontId="26" fillId="0" borderId="31" xfId="4" applyFont="1" applyBorder="1" applyAlignment="1" applyProtection="1">
      <alignment vertical="center"/>
    </xf>
    <xf numFmtId="0" fontId="22" fillId="0" borderId="32" xfId="4" applyFont="1" applyBorder="1" applyAlignment="1" applyProtection="1">
      <alignment vertical="center"/>
    </xf>
    <xf numFmtId="4" fontId="22" fillId="0" borderId="33" xfId="4" applyNumberFormat="1" applyFont="1" applyBorder="1" applyAlignment="1" applyProtection="1">
      <alignment horizontal="center" vertical="center"/>
    </xf>
    <xf numFmtId="0" fontId="22" fillId="0" borderId="0" xfId="4" applyFont="1" applyAlignment="1" applyProtection="1">
      <alignment horizontal="left" vertical="center"/>
    </xf>
    <xf numFmtId="0" fontId="26" fillId="0" borderId="0" xfId="4" applyFont="1" applyBorder="1" applyAlignment="1" applyProtection="1">
      <alignment horizontal="right" vertical="center"/>
    </xf>
    <xf numFmtId="165" fontId="22" fillId="0" borderId="0" xfId="4" applyNumberFormat="1" applyFont="1" applyBorder="1" applyAlignment="1" applyProtection="1">
      <alignment vertical="center"/>
    </xf>
    <xf numFmtId="0" fontId="21" fillId="0" borderId="0" xfId="4" applyFont="1" applyFill="1" applyAlignment="1" applyProtection="1">
      <alignment horizontal="left" vertical="center"/>
    </xf>
    <xf numFmtId="0" fontId="18" fillId="0" borderId="0" xfId="4" applyFont="1" applyFill="1" applyAlignment="1" applyProtection="1">
      <alignment vertical="center"/>
    </xf>
    <xf numFmtId="0" fontId="22" fillId="0" borderId="0" xfId="4" applyFont="1" applyFill="1" applyAlignment="1" applyProtection="1">
      <alignment horizontal="left" vertical="center"/>
    </xf>
    <xf numFmtId="0" fontId="26" fillId="0" borderId="0" xfId="4" applyFont="1" applyFill="1" applyBorder="1" applyAlignment="1" applyProtection="1">
      <alignment horizontal="right" vertical="center"/>
    </xf>
    <xf numFmtId="170" fontId="22" fillId="0" borderId="0" xfId="5" applyNumberFormat="1" applyFont="1" applyFill="1" applyBorder="1" applyAlignment="1" applyProtection="1">
      <alignment horizontal="right" vertical="center"/>
    </xf>
    <xf numFmtId="165" fontId="22" fillId="0" borderId="0" xfId="4" applyNumberFormat="1" applyFont="1" applyFill="1" applyBorder="1" applyAlignment="1" applyProtection="1">
      <alignment vertical="center"/>
    </xf>
    <xf numFmtId="165" fontId="18" fillId="0" borderId="0" xfId="4" applyNumberFormat="1" applyFont="1" applyFill="1" applyBorder="1" applyAlignment="1" applyProtection="1">
      <alignment horizontal="center" vertical="center"/>
    </xf>
    <xf numFmtId="4" fontId="22" fillId="0" borderId="0" xfId="6" applyNumberFormat="1" applyFont="1" applyFill="1" applyBorder="1" applyAlignment="1" applyProtection="1">
      <alignment vertical="center"/>
    </xf>
    <xf numFmtId="0" fontId="31" fillId="0" borderId="26" xfId="4" applyFont="1" applyBorder="1" applyAlignment="1" applyProtection="1">
      <alignment horizontal="left" vertical="center"/>
    </xf>
    <xf numFmtId="0" fontId="30" fillId="0" borderId="27" xfId="4" applyFont="1" applyBorder="1" applyAlignment="1" applyProtection="1">
      <alignment horizontal="left" vertical="center" indent="3"/>
    </xf>
    <xf numFmtId="40" fontId="22" fillId="0" borderId="28" xfId="5" applyFont="1" applyBorder="1" applyAlignment="1" applyProtection="1">
      <alignment vertical="center"/>
    </xf>
    <xf numFmtId="4" fontId="22" fillId="7" borderId="33" xfId="6" applyNumberFormat="1" applyFont="1" applyFill="1" applyBorder="1" applyAlignment="1" applyProtection="1">
      <alignment vertical="center"/>
      <protection locked="0"/>
    </xf>
    <xf numFmtId="170" fontId="22" fillId="0" borderId="0" xfId="4" applyNumberFormat="1" applyFont="1" applyBorder="1" applyAlignment="1" applyProtection="1">
      <alignment vertical="center"/>
    </xf>
    <xf numFmtId="44" fontId="22" fillId="7" borderId="0" xfId="2" applyFont="1" applyFill="1" applyBorder="1" applyAlignment="1" applyProtection="1">
      <alignment vertical="center"/>
      <protection locked="0"/>
    </xf>
    <xf numFmtId="170" fontId="22" fillId="0" borderId="17" xfId="4" applyNumberFormat="1" applyFont="1" applyBorder="1" applyAlignment="1" applyProtection="1">
      <alignment vertical="center"/>
    </xf>
    <xf numFmtId="8" fontId="18" fillId="0" borderId="0" xfId="11" applyFont="1" applyBorder="1" applyAlignment="1" applyProtection="1">
      <alignment vertical="center"/>
    </xf>
    <xf numFmtId="8" fontId="18" fillId="0" borderId="0" xfId="4" applyNumberFormat="1" applyFont="1" applyAlignment="1" applyProtection="1">
      <alignment vertical="center"/>
    </xf>
    <xf numFmtId="0" fontId="21" fillId="0" borderId="0" xfId="4" applyFont="1" applyBorder="1" applyAlignment="1" applyProtection="1">
      <alignment horizontal="left" vertical="center" indent="1"/>
    </xf>
    <xf numFmtId="9" fontId="22" fillId="0" borderId="0" xfId="4" applyNumberFormat="1" applyFont="1" applyAlignment="1" applyProtection="1">
      <alignment vertical="center"/>
    </xf>
    <xf numFmtId="0" fontId="22" fillId="0" borderId="0" xfId="4" applyFont="1" applyFill="1" applyBorder="1" applyAlignment="1" applyProtection="1">
      <alignment vertical="center"/>
    </xf>
    <xf numFmtId="0" fontId="32" fillId="0" borderId="0" xfId="4" applyFont="1" applyAlignment="1" applyProtection="1">
      <alignment horizontal="right" vertical="center"/>
    </xf>
    <xf numFmtId="10" fontId="22" fillId="0" borderId="0" xfId="3" applyNumberFormat="1" applyFont="1" applyBorder="1" applyAlignment="1" applyProtection="1">
      <alignment vertical="center"/>
    </xf>
    <xf numFmtId="8" fontId="22" fillId="0" borderId="0" xfId="4" applyNumberFormat="1" applyFont="1" applyAlignment="1" applyProtection="1">
      <alignment vertical="center"/>
    </xf>
    <xf numFmtId="10" fontId="22" fillId="7" borderId="0" xfId="3" applyNumberFormat="1" applyFont="1" applyFill="1" applyBorder="1" applyAlignment="1" applyProtection="1">
      <alignment vertical="center"/>
      <protection locked="0"/>
    </xf>
    <xf numFmtId="10" fontId="22" fillId="0" borderId="0" xfId="3" applyNumberFormat="1" applyFont="1" applyAlignment="1" applyProtection="1">
      <alignment vertical="center"/>
    </xf>
    <xf numFmtId="8" fontId="22" fillId="0" borderId="0" xfId="11" applyNumberFormat="1" applyFont="1" applyAlignment="1" applyProtection="1">
      <alignment vertical="center"/>
    </xf>
    <xf numFmtId="0" fontId="18" fillId="0" borderId="0" xfId="4" applyFont="1" applyAlignment="1" applyProtection="1">
      <alignment horizontal="left" vertical="center" indent="1"/>
    </xf>
    <xf numFmtId="0" fontId="27" fillId="0" borderId="0" xfId="4" applyFont="1" applyAlignment="1" applyProtection="1">
      <alignment horizontal="right" vertical="center"/>
    </xf>
    <xf numFmtId="8" fontId="22" fillId="0" borderId="0" xfId="11" applyFont="1" applyBorder="1" applyAlignment="1" applyProtection="1">
      <alignment vertical="center"/>
    </xf>
    <xf numFmtId="0" fontId="21" fillId="0" borderId="0" xfId="4" applyFont="1" applyAlignment="1" applyProtection="1">
      <alignment horizontal="left" vertical="center" indent="1"/>
    </xf>
    <xf numFmtId="8" fontId="22" fillId="0" borderId="0" xfId="11" applyFont="1" applyFill="1" applyAlignment="1" applyProtection="1">
      <alignment vertical="center"/>
    </xf>
    <xf numFmtId="0" fontId="32" fillId="0" borderId="0" xfId="4" applyFont="1" applyAlignment="1" applyProtection="1">
      <alignment horizontal="right" vertical="center" indent="2"/>
    </xf>
    <xf numFmtId="0" fontId="33" fillId="0" borderId="0" xfId="4" applyFont="1" applyAlignment="1" applyProtection="1">
      <alignment horizontal="right" vertical="center"/>
    </xf>
    <xf numFmtId="0" fontId="20" fillId="0" borderId="0" xfId="4" applyFont="1" applyBorder="1" applyAlignment="1" applyProtection="1">
      <alignment horizontal="right" vertical="center"/>
    </xf>
    <xf numFmtId="0" fontId="34" fillId="12" borderId="34" xfId="4" applyFont="1" applyFill="1" applyBorder="1" applyAlignment="1" applyProtection="1">
      <alignment vertical="center"/>
    </xf>
    <xf numFmtId="0" fontId="35" fillId="12" borderId="35" xfId="4" applyFont="1" applyFill="1" applyBorder="1" applyAlignment="1" applyProtection="1">
      <alignment vertical="center"/>
    </xf>
    <xf numFmtId="0" fontId="18" fillId="12" borderId="35" xfId="4" applyFont="1" applyFill="1" applyBorder="1" applyAlignment="1" applyProtection="1">
      <alignment vertical="center"/>
    </xf>
    <xf numFmtId="8" fontId="35" fillId="12" borderId="36" xfId="4" applyNumberFormat="1" applyFont="1" applyFill="1" applyBorder="1" applyAlignment="1" applyProtection="1">
      <alignment horizontal="right" vertical="center"/>
    </xf>
    <xf numFmtId="0" fontId="26" fillId="0" borderId="0" xfId="4" applyFont="1" applyFill="1" applyAlignment="1" applyProtection="1">
      <alignment horizontal="right" vertical="center"/>
    </xf>
    <xf numFmtId="0" fontId="0" fillId="0" borderId="0" xfId="0" applyProtection="1"/>
    <xf numFmtId="0" fontId="36" fillId="0" borderId="0" xfId="0" applyFont="1" applyFill="1" applyAlignment="1" applyProtection="1">
      <alignment horizontal="left"/>
    </xf>
    <xf numFmtId="44" fontId="22" fillId="11" borderId="0" xfId="2" applyFont="1" applyFill="1" applyBorder="1" applyAlignment="1" applyProtection="1">
      <alignment vertical="center"/>
    </xf>
    <xf numFmtId="0" fontId="37" fillId="0" borderId="37" xfId="0" applyFont="1" applyFill="1" applyBorder="1" applyAlignment="1">
      <alignment horizontal="center"/>
    </xf>
    <xf numFmtId="17" fontId="38" fillId="0" borderId="37" xfId="0" quotePrefix="1" applyNumberFormat="1" applyFont="1" applyFill="1" applyBorder="1" applyAlignment="1">
      <alignment horizontal="center"/>
    </xf>
    <xf numFmtId="0" fontId="37" fillId="0" borderId="38" xfId="0" applyFont="1" applyFill="1" applyBorder="1" applyAlignment="1">
      <alignment horizontal="center"/>
    </xf>
    <xf numFmtId="17" fontId="38" fillId="0" borderId="38" xfId="0" applyNumberFormat="1" applyFont="1" applyFill="1" applyBorder="1" applyAlignment="1">
      <alignment horizontal="center"/>
    </xf>
    <xf numFmtId="17" fontId="38" fillId="0" borderId="38" xfId="0" applyNumberFormat="1" applyFont="1" applyFill="1" applyBorder="1" applyAlignment="1"/>
    <xf numFmtId="0" fontId="38" fillId="0" borderId="39" xfId="0" applyFont="1" applyFill="1" applyBorder="1" applyAlignment="1">
      <alignment horizontal="left"/>
    </xf>
    <xf numFmtId="44" fontId="38" fillId="0" borderId="40" xfId="0" applyNumberFormat="1" applyFont="1" applyFill="1" applyBorder="1" applyAlignment="1">
      <alignment horizontal="center"/>
    </xf>
    <xf numFmtId="44" fontId="38" fillId="0" borderId="41" xfId="0" applyNumberFormat="1" applyFont="1" applyFill="1" applyBorder="1" applyAlignment="1"/>
    <xf numFmtId="0" fontId="38" fillId="0" borderId="42" xfId="0" applyFont="1" applyFill="1" applyBorder="1" applyAlignment="1">
      <alignment horizontal="left"/>
    </xf>
    <xf numFmtId="166" fontId="38" fillId="0" borderId="1" xfId="0" applyNumberFormat="1" applyFont="1" applyFill="1" applyBorder="1" applyAlignment="1"/>
    <xf numFmtId="166" fontId="38" fillId="0" borderId="43" xfId="0" applyNumberFormat="1" applyFont="1" applyFill="1" applyBorder="1" applyAlignment="1"/>
    <xf numFmtId="0" fontId="38" fillId="0" borderId="42" xfId="0" applyFont="1" applyFill="1" applyBorder="1"/>
    <xf numFmtId="166" fontId="38" fillId="0" borderId="1" xfId="2" applyNumberFormat="1" applyFont="1" applyFill="1" applyBorder="1" applyAlignment="1"/>
    <xf numFmtId="0" fontId="39" fillId="0" borderId="44" xfId="0" applyFont="1" applyFill="1" applyBorder="1" applyAlignment="1"/>
    <xf numFmtId="166" fontId="38" fillId="0" borderId="45" xfId="0" applyNumberFormat="1" applyFont="1" applyFill="1" applyBorder="1" applyAlignment="1"/>
    <xf numFmtId="166" fontId="38" fillId="0" borderId="46" xfId="0" applyNumberFormat="1" applyFont="1" applyFill="1" applyBorder="1" applyAlignment="1"/>
    <xf numFmtId="2" fontId="7" fillId="0" borderId="1" xfId="0" applyNumberFormat="1" applyFont="1" applyFill="1" applyBorder="1"/>
    <xf numFmtId="4" fontId="3" fillId="0" borderId="1" xfId="7" applyNumberFormat="1" applyFont="1" applyFill="1" applyBorder="1" applyAlignment="1"/>
    <xf numFmtId="4" fontId="22" fillId="0" borderId="0" xfId="4" applyNumberFormat="1" applyFont="1" applyAlignment="1" applyProtection="1">
      <alignment vertical="center"/>
    </xf>
    <xf numFmtId="4" fontId="25" fillId="7" borderId="0" xfId="5" applyNumberFormat="1" applyFont="1" applyFill="1" applyAlignment="1" applyProtection="1">
      <alignment vertical="center"/>
      <protection locked="0"/>
    </xf>
    <xf numFmtId="0" fontId="4" fillId="0" borderId="0" xfId="0" applyFont="1" applyBorder="1" applyAlignment="1" applyProtection="1">
      <alignment wrapText="1"/>
    </xf>
    <xf numFmtId="2" fontId="7" fillId="0" borderId="0" xfId="0" applyNumberFormat="1" applyFont="1" applyFill="1" applyBorder="1"/>
    <xf numFmtId="43" fontId="8" fillId="3" borderId="0" xfId="1" applyFont="1" applyFill="1" applyBorder="1" applyProtection="1"/>
    <xf numFmtId="39" fontId="8" fillId="3" borderId="0" xfId="1" applyNumberFormat="1" applyFont="1" applyFill="1" applyBorder="1" applyProtection="1"/>
    <xf numFmtId="0" fontId="7" fillId="6" borderId="0" xfId="0" applyFont="1" applyFill="1" applyBorder="1" applyProtection="1"/>
    <xf numFmtId="4" fontId="3" fillId="0" borderId="0" xfId="7" applyNumberFormat="1" applyFont="1" applyFill="1" applyBorder="1" applyAlignment="1"/>
    <xf numFmtId="0" fontId="4" fillId="0" borderId="0" xfId="0" applyFont="1" applyBorder="1" applyProtection="1"/>
    <xf numFmtId="0" fontId="22" fillId="0" borderId="0" xfId="12" applyFont="1" applyAlignment="1" applyProtection="1">
      <alignment vertical="center"/>
    </xf>
    <xf numFmtId="44" fontId="22" fillId="0" borderId="0" xfId="2" applyFont="1" applyFill="1" applyBorder="1" applyAlignment="1" applyProtection="1">
      <alignment vertical="center"/>
    </xf>
    <xf numFmtId="44" fontId="22" fillId="0" borderId="0" xfId="2" applyFont="1" applyFill="1" applyBorder="1" applyAlignment="1" applyProtection="1">
      <alignment horizontal="right" vertical="center"/>
    </xf>
    <xf numFmtId="8" fontId="35" fillId="12" borderId="36" xfId="12" applyNumberFormat="1" applyFont="1" applyFill="1" applyBorder="1" applyAlignment="1" applyProtection="1">
      <alignment horizontal="right" vertical="center"/>
    </xf>
    <xf numFmtId="8" fontId="22" fillId="11" borderId="0" xfId="2" applyNumberFormat="1" applyFont="1" applyFill="1" applyBorder="1" applyAlignment="1" applyProtection="1">
      <alignment vertical="center"/>
    </xf>
    <xf numFmtId="0" fontId="12" fillId="7" borderId="10" xfId="0" applyNumberFormat="1" applyFont="1" applyFill="1" applyBorder="1" applyAlignment="1" applyProtection="1">
      <alignment horizontal="left" vertical="center"/>
      <protection locked="0"/>
    </xf>
    <xf numFmtId="0" fontId="12" fillId="7" borderId="12" xfId="0" applyNumberFormat="1" applyFont="1" applyFill="1" applyBorder="1" applyAlignment="1" applyProtection="1">
      <alignment horizontal="left" vertical="center"/>
      <protection locked="0"/>
    </xf>
    <xf numFmtId="0" fontId="12" fillId="0" borderId="10" xfId="0" applyNumberFormat="1" applyFont="1" applyFill="1" applyBorder="1" applyAlignment="1" applyProtection="1">
      <alignment horizontal="left" vertical="center"/>
    </xf>
    <xf numFmtId="0" fontId="12" fillId="0" borderId="12" xfId="0" applyNumberFormat="1" applyFont="1" applyFill="1" applyBorder="1" applyAlignment="1" applyProtection="1">
      <alignment horizontal="left" vertical="center"/>
    </xf>
    <xf numFmtId="0" fontId="12" fillId="0" borderId="6" xfId="0" applyNumberFormat="1" applyFont="1" applyFill="1" applyBorder="1" applyAlignment="1" applyProtection="1">
      <alignment horizontal="left" vertical="center"/>
    </xf>
    <xf numFmtId="0" fontId="12" fillId="0" borderId="8" xfId="0" applyNumberFormat="1" applyFont="1" applyFill="1" applyBorder="1" applyAlignment="1" applyProtection="1">
      <alignment horizontal="left" vertical="center"/>
    </xf>
    <xf numFmtId="0" fontId="12" fillId="7" borderId="10" xfId="0" applyNumberFormat="1" applyFont="1" applyFill="1" applyBorder="1" applyAlignment="1" applyProtection="1">
      <alignment horizontal="left" vertical="center" wrapText="1"/>
      <protection locked="0"/>
    </xf>
    <xf numFmtId="0" fontId="12" fillId="7" borderId="6" xfId="0" applyNumberFormat="1" applyFont="1" applyFill="1" applyBorder="1" applyAlignment="1" applyProtection="1">
      <alignment horizontal="left" vertical="center" wrapText="1"/>
      <protection locked="0"/>
    </xf>
    <xf numFmtId="0" fontId="12" fillId="7" borderId="8" xfId="0" applyNumberFormat="1" applyFont="1" applyFill="1" applyBorder="1" applyAlignment="1" applyProtection="1">
      <alignment horizontal="left" vertical="center"/>
      <protection locked="0"/>
    </xf>
    <xf numFmtId="0" fontId="2" fillId="0" borderId="0" xfId="0" applyFont="1" applyAlignment="1" applyProtection="1">
      <alignment horizontal="center"/>
    </xf>
    <xf numFmtId="0" fontId="11" fillId="0" borderId="0" xfId="0" applyFont="1" applyFill="1" applyAlignment="1" applyProtection="1">
      <alignment horizontal="center"/>
    </xf>
    <xf numFmtId="0" fontId="12" fillId="7" borderId="2" xfId="0" quotePrefix="1" applyNumberFormat="1" applyFont="1" applyFill="1" applyBorder="1" applyAlignment="1" applyProtection="1">
      <alignment horizontal="left" vertical="center"/>
      <protection locked="0"/>
    </xf>
    <xf numFmtId="0" fontId="12" fillId="7" borderId="3" xfId="0" applyNumberFormat="1" applyFont="1" applyFill="1" applyBorder="1" applyAlignment="1" applyProtection="1">
      <alignment horizontal="left" vertical="center"/>
      <protection locked="0"/>
    </xf>
    <xf numFmtId="0" fontId="12" fillId="7" borderId="4" xfId="0" applyNumberFormat="1" applyFont="1" applyFill="1" applyBorder="1" applyAlignment="1" applyProtection="1">
      <alignment horizontal="left" vertical="center"/>
      <protection locked="0"/>
    </xf>
    <xf numFmtId="49" fontId="12" fillId="0" borderId="2" xfId="0" quotePrefix="1" applyNumberFormat="1" applyFont="1" applyFill="1" applyBorder="1" applyAlignment="1" applyProtection="1">
      <alignment horizontal="left" vertical="center"/>
    </xf>
    <xf numFmtId="0" fontId="12" fillId="0" borderId="3" xfId="0" applyNumberFormat="1" applyFont="1" applyFill="1" applyBorder="1" applyAlignment="1" applyProtection="1">
      <alignment horizontal="left" vertical="center"/>
    </xf>
    <xf numFmtId="0" fontId="12" fillId="0" borderId="4" xfId="0" applyNumberFormat="1" applyFont="1" applyFill="1" applyBorder="1" applyAlignment="1" applyProtection="1">
      <alignment horizontal="left" vertical="center"/>
    </xf>
    <xf numFmtId="0" fontId="12" fillId="9" borderId="10" xfId="0" applyNumberFormat="1" applyFont="1" applyFill="1" applyBorder="1" applyAlignment="1" applyProtection="1">
      <alignment horizontal="left" vertical="center"/>
    </xf>
    <xf numFmtId="0" fontId="12" fillId="9" borderId="12" xfId="0" applyNumberFormat="1" applyFont="1" applyFill="1" applyBorder="1" applyAlignment="1" applyProtection="1">
      <alignment horizontal="left" vertical="center"/>
    </xf>
    <xf numFmtId="0" fontId="12" fillId="9" borderId="6" xfId="0" applyNumberFormat="1" applyFont="1" applyFill="1" applyBorder="1" applyAlignment="1" applyProtection="1">
      <alignment horizontal="left" vertical="center"/>
    </xf>
    <xf numFmtId="0" fontId="12" fillId="9" borderId="8" xfId="0" applyNumberFormat="1" applyFont="1" applyFill="1" applyBorder="1" applyAlignment="1" applyProtection="1">
      <alignment horizontal="left" vertical="center"/>
    </xf>
    <xf numFmtId="0" fontId="20" fillId="11" borderId="5" xfId="4" quotePrefix="1" applyNumberFormat="1" applyFont="1" applyFill="1" applyBorder="1" applyAlignment="1" applyProtection="1">
      <alignment horizontal="center" vertical="center"/>
    </xf>
    <xf numFmtId="0" fontId="20" fillId="11" borderId="25" xfId="4" applyFont="1" applyFill="1" applyBorder="1" applyAlignment="1" applyProtection="1">
      <alignment horizontal="center" vertical="center"/>
    </xf>
    <xf numFmtId="0" fontId="19" fillId="0" borderId="26" xfId="4" applyFont="1" applyBorder="1" applyAlignment="1" applyProtection="1">
      <alignment horizontal="center" vertical="center"/>
    </xf>
    <xf numFmtId="0" fontId="22" fillId="0" borderId="27" xfId="4" applyFont="1" applyBorder="1" applyAlignment="1" applyProtection="1">
      <alignment horizontal="center" vertical="center"/>
    </xf>
    <xf numFmtId="0" fontId="22" fillId="0" borderId="28" xfId="4" applyFont="1" applyBorder="1" applyAlignment="1" applyProtection="1">
      <alignment horizontal="center" vertical="center"/>
    </xf>
    <xf numFmtId="0" fontId="34" fillId="0" borderId="0" xfId="4" applyFont="1" applyAlignment="1" applyProtection="1">
      <alignment horizontal="center" vertical="center"/>
      <protection locked="0"/>
    </xf>
    <xf numFmtId="0" fontId="28" fillId="0" borderId="0" xfId="12" applyFont="1" applyFill="1" applyAlignment="1" applyProtection="1">
      <alignment horizontal="center" vertical="center" wrapText="1"/>
    </xf>
  </cellXfs>
  <cellStyles count="13">
    <cellStyle name="Comma" xfId="1" builtinId="3"/>
    <cellStyle name="Comma [0] 2" xfId="6"/>
    <cellStyle name="Comma 2" xfId="5"/>
    <cellStyle name="Comma 4" xfId="7"/>
    <cellStyle name="Comma_Sheet2" xfId="9"/>
    <cellStyle name="Currency" xfId="2" builtinId="4"/>
    <cellStyle name="Currency 2" xfId="11"/>
    <cellStyle name="Normal" xfId="0" builtinId="0"/>
    <cellStyle name="Normal 2" xfId="4"/>
    <cellStyle name="Normal 2 2" xfId="12"/>
    <cellStyle name="Normal_Sheet2" xfId="8"/>
    <cellStyle name="Normal_Sheet3" xfId="1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tabSelected="1" zoomScaleNormal="100" workbookViewId="0">
      <selection activeCell="B19" sqref="B19"/>
    </sheetView>
  </sheetViews>
  <sheetFormatPr defaultColWidth="9.109375" defaultRowHeight="14.4"/>
  <cols>
    <col min="1" max="18" width="10.6640625" style="72" customWidth="1"/>
    <col min="19" max="19" width="10.6640625" style="173" customWidth="1"/>
    <col min="20" max="20" width="10.6640625" style="72" customWidth="1"/>
    <col min="21" max="16384" width="9.109375" style="72"/>
  </cols>
  <sheetData>
    <row r="1" spans="1:20">
      <c r="A1" s="437" t="s">
        <v>757</v>
      </c>
      <c r="B1" s="437"/>
      <c r="C1" s="437"/>
      <c r="D1" s="437"/>
      <c r="E1" s="437"/>
      <c r="F1" s="437"/>
      <c r="G1" s="437"/>
      <c r="H1" s="437"/>
      <c r="I1" s="437"/>
      <c r="J1" s="437"/>
      <c r="K1" s="437" t="s">
        <v>758</v>
      </c>
      <c r="L1" s="437"/>
      <c r="M1" s="437"/>
      <c r="N1" s="437"/>
      <c r="O1" s="437"/>
      <c r="P1" s="437"/>
      <c r="Q1" s="437"/>
      <c r="R1" s="437"/>
      <c r="S1" s="437"/>
      <c r="T1" s="437"/>
    </row>
    <row r="2" spans="1:20">
      <c r="A2" s="438" t="s">
        <v>759</v>
      </c>
      <c r="B2" s="438"/>
      <c r="C2" s="438"/>
      <c r="D2" s="438"/>
      <c r="E2" s="438"/>
      <c r="F2" s="438"/>
      <c r="G2" s="438"/>
      <c r="H2" s="438"/>
      <c r="I2" s="438"/>
      <c r="J2" s="438"/>
      <c r="K2" s="438" t="s">
        <v>760</v>
      </c>
      <c r="L2" s="438">
        <f>B3</f>
        <v>0</v>
      </c>
      <c r="M2" s="438"/>
      <c r="N2" s="438"/>
      <c r="O2" s="438"/>
      <c r="P2" s="438"/>
      <c r="Q2" s="438"/>
      <c r="R2" s="438"/>
      <c r="S2" s="438"/>
      <c r="T2" s="438"/>
    </row>
    <row r="3" spans="1:20">
      <c r="A3" s="73"/>
      <c r="B3" s="73"/>
      <c r="C3" s="73"/>
      <c r="D3" s="73"/>
      <c r="E3" s="73"/>
      <c r="F3" s="73"/>
      <c r="G3" s="73"/>
      <c r="H3" s="73"/>
      <c r="I3" s="73"/>
      <c r="J3" s="73"/>
      <c r="K3" s="74"/>
      <c r="L3" s="74"/>
      <c r="M3" s="74"/>
      <c r="N3" s="74"/>
      <c r="O3" s="74"/>
      <c r="P3" s="74"/>
      <c r="Q3" s="74"/>
      <c r="R3" s="74"/>
      <c r="S3" s="74"/>
      <c r="T3" s="74"/>
    </row>
    <row r="4" spans="1:20">
      <c r="A4" s="75" t="s">
        <v>761</v>
      </c>
      <c r="B4" s="394" t="s">
        <v>948</v>
      </c>
      <c r="C4" s="76"/>
      <c r="D4" s="76"/>
      <c r="E4" s="76"/>
      <c r="F4" s="76"/>
      <c r="G4" s="75" t="s">
        <v>762</v>
      </c>
      <c r="H4" s="76"/>
      <c r="I4" s="76"/>
      <c r="J4" s="76"/>
      <c r="K4" s="75" t="s">
        <v>761</v>
      </c>
      <c r="L4" s="76"/>
      <c r="M4" s="76"/>
      <c r="N4" s="76"/>
      <c r="O4" s="76"/>
      <c r="P4" s="76"/>
      <c r="Q4" s="75" t="s">
        <v>762</v>
      </c>
      <c r="R4" s="76"/>
      <c r="S4" s="76"/>
      <c r="T4" s="76"/>
    </row>
    <row r="5" spans="1:20">
      <c r="A5" s="439"/>
      <c r="B5" s="440"/>
      <c r="C5" s="441"/>
      <c r="D5" s="74"/>
      <c r="E5" s="74"/>
      <c r="F5" s="73"/>
      <c r="G5" s="77" t="str">
        <f>IFERROR(INDEX(PED_ONLY!$B$2:$B$257,MATCH($A$5,PED_ONLY!$A$2:$A$257,0)),"000-000")</f>
        <v>000-000</v>
      </c>
      <c r="H5" s="74"/>
      <c r="I5" s="74"/>
      <c r="J5" s="74"/>
      <c r="K5" s="442">
        <f>A5</f>
        <v>0</v>
      </c>
      <c r="L5" s="443"/>
      <c r="M5" s="444"/>
      <c r="N5" s="74"/>
      <c r="O5" s="74"/>
      <c r="P5" s="73"/>
      <c r="Q5" s="77" t="str">
        <f>G5</f>
        <v>000-000</v>
      </c>
      <c r="R5" s="74"/>
      <c r="S5" s="74"/>
      <c r="T5" s="74"/>
    </row>
    <row r="6" spans="1:20">
      <c r="A6" s="78"/>
      <c r="B6" s="79"/>
      <c r="C6" s="79"/>
      <c r="D6" s="79" t="s">
        <v>763</v>
      </c>
      <c r="E6" s="79" t="s">
        <v>764</v>
      </c>
      <c r="F6" s="79"/>
      <c r="G6" s="79"/>
      <c r="H6" s="79" t="s">
        <v>765</v>
      </c>
      <c r="I6" s="74"/>
      <c r="J6" s="74"/>
      <c r="K6" s="78"/>
      <c r="L6" s="79"/>
      <c r="M6" s="79"/>
      <c r="N6" s="79" t="s">
        <v>763</v>
      </c>
      <c r="O6" s="79" t="s">
        <v>764</v>
      </c>
      <c r="P6" s="79"/>
      <c r="Q6" s="79"/>
      <c r="R6" s="79" t="s">
        <v>765</v>
      </c>
      <c r="S6" s="74"/>
      <c r="T6" s="74"/>
    </row>
    <row r="7" spans="1:20">
      <c r="A7" s="80"/>
      <c r="B7" s="81" t="s">
        <v>766</v>
      </c>
      <c r="C7" s="82" t="s">
        <v>767</v>
      </c>
      <c r="D7" s="82" t="s">
        <v>768</v>
      </c>
      <c r="E7" s="83" t="s">
        <v>769</v>
      </c>
      <c r="F7" s="84"/>
      <c r="G7" s="83" t="s">
        <v>770</v>
      </c>
      <c r="H7" s="83" t="s">
        <v>771</v>
      </c>
      <c r="I7" s="74"/>
      <c r="J7" s="74"/>
      <c r="K7" s="80"/>
      <c r="L7" s="81" t="s">
        <v>766</v>
      </c>
      <c r="M7" s="82" t="s">
        <v>767</v>
      </c>
      <c r="N7" s="82" t="s">
        <v>768</v>
      </c>
      <c r="O7" s="83" t="s">
        <v>769</v>
      </c>
      <c r="P7" s="84"/>
      <c r="Q7" s="83" t="s">
        <v>770</v>
      </c>
      <c r="R7" s="83" t="s">
        <v>771</v>
      </c>
      <c r="S7" s="74"/>
      <c r="T7" s="74"/>
    </row>
    <row r="8" spans="1:20">
      <c r="A8" s="85" t="s">
        <v>772</v>
      </c>
      <c r="B8" s="86"/>
      <c r="C8" s="86"/>
      <c r="D8" s="86"/>
      <c r="E8" s="87"/>
      <c r="F8" s="79"/>
      <c r="G8" s="87"/>
      <c r="H8" s="87"/>
      <c r="I8" s="74"/>
      <c r="J8" s="74"/>
      <c r="K8" s="85" t="s">
        <v>772</v>
      </c>
      <c r="L8" s="86"/>
      <c r="M8" s="86"/>
      <c r="N8" s="86"/>
      <c r="O8" s="87"/>
      <c r="P8" s="79"/>
      <c r="Q8" s="87"/>
      <c r="R8" s="87"/>
      <c r="S8" s="74"/>
      <c r="T8" s="74"/>
    </row>
    <row r="9" spans="1:20">
      <c r="A9" s="88" t="s">
        <v>773</v>
      </c>
      <c r="B9" s="89">
        <v>0</v>
      </c>
      <c r="C9" s="90">
        <v>0</v>
      </c>
      <c r="D9" s="90">
        <v>0</v>
      </c>
      <c r="E9" s="91">
        <v>0</v>
      </c>
      <c r="F9" s="92"/>
      <c r="G9" s="93">
        <v>0</v>
      </c>
      <c r="H9" s="94">
        <f>ROUND(SUM(B9:G9),2)</f>
        <v>0</v>
      </c>
      <c r="I9" s="74"/>
      <c r="J9" s="74"/>
      <c r="K9" s="88" t="s">
        <v>773</v>
      </c>
      <c r="L9" s="89">
        <v>0</v>
      </c>
      <c r="M9" s="90">
        <v>0</v>
      </c>
      <c r="N9" s="90">
        <v>0</v>
      </c>
      <c r="O9" s="91">
        <v>0</v>
      </c>
      <c r="P9" s="92"/>
      <c r="Q9" s="93">
        <v>0</v>
      </c>
      <c r="R9" s="94">
        <f>ROUND(SUM(L9:Q9),2)</f>
        <v>0</v>
      </c>
      <c r="S9" s="74"/>
      <c r="T9" s="74"/>
    </row>
    <row r="10" spans="1:20">
      <c r="A10" s="88" t="s">
        <v>774</v>
      </c>
      <c r="B10" s="95">
        <v>0</v>
      </c>
      <c r="C10" s="96">
        <v>0</v>
      </c>
      <c r="D10" s="96">
        <v>0</v>
      </c>
      <c r="E10" s="97">
        <v>0</v>
      </c>
      <c r="F10" s="92"/>
      <c r="G10" s="98">
        <v>0</v>
      </c>
      <c r="H10" s="94">
        <f>ROUND(SUM(B10:G10),2)</f>
        <v>0</v>
      </c>
      <c r="I10" s="74"/>
      <c r="J10" s="74"/>
      <c r="K10" s="88" t="s">
        <v>774</v>
      </c>
      <c r="L10" s="95">
        <v>0</v>
      </c>
      <c r="M10" s="96">
        <v>0</v>
      </c>
      <c r="N10" s="96">
        <v>0</v>
      </c>
      <c r="O10" s="97">
        <v>0</v>
      </c>
      <c r="P10" s="92"/>
      <c r="Q10" s="98">
        <v>0</v>
      </c>
      <c r="R10" s="94">
        <f>ROUND(SUM(L10:Q10),2)</f>
        <v>0</v>
      </c>
      <c r="S10" s="74"/>
      <c r="T10" s="74"/>
    </row>
    <row r="11" spans="1:20">
      <c r="A11" s="99" t="s">
        <v>775</v>
      </c>
      <c r="B11" s="92"/>
      <c r="C11" s="92"/>
      <c r="D11" s="100"/>
      <c r="E11" s="92"/>
      <c r="F11" s="79"/>
      <c r="G11" s="92"/>
      <c r="H11" s="92"/>
      <c r="I11" s="74"/>
      <c r="J11" s="74"/>
      <c r="K11" s="99" t="s">
        <v>775</v>
      </c>
      <c r="L11" s="92"/>
      <c r="M11" s="92"/>
      <c r="N11" s="100"/>
      <c r="O11" s="92"/>
      <c r="P11" s="79"/>
      <c r="Q11" s="92"/>
      <c r="R11" s="92"/>
      <c r="S11" s="74"/>
      <c r="T11" s="74"/>
    </row>
    <row r="12" spans="1:20">
      <c r="A12" s="101" t="s">
        <v>776</v>
      </c>
      <c r="B12" s="92"/>
      <c r="C12" s="92"/>
      <c r="D12" s="89">
        <v>0</v>
      </c>
      <c r="E12" s="91">
        <v>0</v>
      </c>
      <c r="F12" s="92"/>
      <c r="G12" s="93">
        <v>0</v>
      </c>
      <c r="H12" s="94">
        <f t="shared" ref="H12:H23" si="0">SUM(D12:G12)</f>
        <v>0</v>
      </c>
      <c r="I12" s="74"/>
      <c r="J12" s="74"/>
      <c r="K12" s="101" t="s">
        <v>776</v>
      </c>
      <c r="L12" s="92"/>
      <c r="M12" s="92"/>
      <c r="N12" s="89">
        <v>0</v>
      </c>
      <c r="O12" s="91">
        <v>0</v>
      </c>
      <c r="P12" s="92"/>
      <c r="Q12" s="93">
        <v>0</v>
      </c>
      <c r="R12" s="94">
        <f>ROUND(SUM(L12:Q12),2)</f>
        <v>0</v>
      </c>
      <c r="S12" s="74"/>
      <c r="T12" s="74"/>
    </row>
    <row r="13" spans="1:20">
      <c r="A13" s="101" t="s">
        <v>777</v>
      </c>
      <c r="B13" s="92"/>
      <c r="C13" s="92"/>
      <c r="D13" s="95">
        <v>0</v>
      </c>
      <c r="E13" s="97">
        <v>0</v>
      </c>
      <c r="F13" s="92"/>
      <c r="G13" s="98">
        <v>0</v>
      </c>
      <c r="H13" s="94">
        <f t="shared" si="0"/>
        <v>0</v>
      </c>
      <c r="I13" s="74"/>
      <c r="J13" s="74"/>
      <c r="K13" s="101" t="s">
        <v>777</v>
      </c>
      <c r="L13" s="92"/>
      <c r="M13" s="92"/>
      <c r="N13" s="95">
        <v>0</v>
      </c>
      <c r="O13" s="97">
        <v>0</v>
      </c>
      <c r="P13" s="92"/>
      <c r="Q13" s="98">
        <v>0</v>
      </c>
      <c r="R13" s="94">
        <f t="shared" ref="R13:R23" si="1">ROUND(SUM(L13:Q13),2)</f>
        <v>0</v>
      </c>
      <c r="S13" s="74"/>
      <c r="T13" s="74"/>
    </row>
    <row r="14" spans="1:20">
      <c r="A14" s="101" t="s">
        <v>778</v>
      </c>
      <c r="B14" s="92"/>
      <c r="C14" s="92"/>
      <c r="D14" s="95">
        <v>0</v>
      </c>
      <c r="E14" s="97">
        <v>0</v>
      </c>
      <c r="F14" s="92"/>
      <c r="G14" s="98">
        <v>0</v>
      </c>
      <c r="H14" s="94">
        <f t="shared" si="0"/>
        <v>0</v>
      </c>
      <c r="I14" s="74"/>
      <c r="J14" s="74"/>
      <c r="K14" s="101" t="s">
        <v>778</v>
      </c>
      <c r="L14" s="92"/>
      <c r="M14" s="92"/>
      <c r="N14" s="95">
        <v>0</v>
      </c>
      <c r="O14" s="97">
        <v>0</v>
      </c>
      <c r="P14" s="92"/>
      <c r="Q14" s="98">
        <v>0</v>
      </c>
      <c r="R14" s="94">
        <f t="shared" si="1"/>
        <v>0</v>
      </c>
      <c r="S14" s="74"/>
      <c r="T14" s="74"/>
    </row>
    <row r="15" spans="1:20">
      <c r="A15" s="101" t="s">
        <v>779</v>
      </c>
      <c r="B15" s="92"/>
      <c r="C15" s="92"/>
      <c r="D15" s="89">
        <v>0</v>
      </c>
      <c r="E15" s="91">
        <v>0</v>
      </c>
      <c r="F15" s="92"/>
      <c r="G15" s="93">
        <v>0</v>
      </c>
      <c r="H15" s="94">
        <f t="shared" si="0"/>
        <v>0</v>
      </c>
      <c r="I15" s="74"/>
      <c r="J15" s="74"/>
      <c r="K15" s="101" t="s">
        <v>779</v>
      </c>
      <c r="L15" s="92"/>
      <c r="M15" s="92"/>
      <c r="N15" s="95">
        <v>0</v>
      </c>
      <c r="O15" s="97">
        <v>0</v>
      </c>
      <c r="P15" s="92"/>
      <c r="Q15" s="98">
        <v>0</v>
      </c>
      <c r="R15" s="94">
        <f t="shared" si="1"/>
        <v>0</v>
      </c>
      <c r="S15" s="74"/>
      <c r="T15" s="74"/>
    </row>
    <row r="16" spans="1:20">
      <c r="A16" s="101" t="s">
        <v>780</v>
      </c>
      <c r="B16" s="92"/>
      <c r="C16" s="92"/>
      <c r="D16" s="95">
        <v>0</v>
      </c>
      <c r="E16" s="97">
        <v>0</v>
      </c>
      <c r="F16" s="92"/>
      <c r="G16" s="98">
        <v>0</v>
      </c>
      <c r="H16" s="94">
        <f t="shared" si="0"/>
        <v>0</v>
      </c>
      <c r="I16" s="74"/>
      <c r="J16" s="74"/>
      <c r="K16" s="101" t="s">
        <v>780</v>
      </c>
      <c r="L16" s="92"/>
      <c r="M16" s="92"/>
      <c r="N16" s="95">
        <v>0</v>
      </c>
      <c r="O16" s="97">
        <v>0</v>
      </c>
      <c r="P16" s="92"/>
      <c r="Q16" s="98">
        <v>0</v>
      </c>
      <c r="R16" s="94">
        <f t="shared" si="1"/>
        <v>0</v>
      </c>
      <c r="S16" s="74"/>
      <c r="T16" s="74"/>
    </row>
    <row r="17" spans="1:20">
      <c r="A17" s="101" t="s">
        <v>781</v>
      </c>
      <c r="B17" s="92"/>
      <c r="C17" s="92"/>
      <c r="D17" s="95">
        <v>0</v>
      </c>
      <c r="E17" s="97">
        <v>0</v>
      </c>
      <c r="F17" s="92"/>
      <c r="G17" s="98">
        <v>0</v>
      </c>
      <c r="H17" s="94">
        <f t="shared" si="0"/>
        <v>0</v>
      </c>
      <c r="I17" s="74"/>
      <c r="J17" s="74"/>
      <c r="K17" s="101" t="s">
        <v>781</v>
      </c>
      <c r="L17" s="92"/>
      <c r="M17" s="92"/>
      <c r="N17" s="95">
        <v>0</v>
      </c>
      <c r="O17" s="97">
        <v>0</v>
      </c>
      <c r="P17" s="92"/>
      <c r="Q17" s="98">
        <v>0</v>
      </c>
      <c r="R17" s="94">
        <f t="shared" si="1"/>
        <v>0</v>
      </c>
      <c r="S17" s="74"/>
      <c r="T17" s="74"/>
    </row>
    <row r="18" spans="1:20">
      <c r="A18" s="101" t="s">
        <v>782</v>
      </c>
      <c r="B18" s="92"/>
      <c r="C18" s="92"/>
      <c r="D18" s="95">
        <v>0</v>
      </c>
      <c r="E18" s="97">
        <v>0</v>
      </c>
      <c r="F18" s="92"/>
      <c r="G18" s="98">
        <v>0</v>
      </c>
      <c r="H18" s="94">
        <f t="shared" si="0"/>
        <v>0</v>
      </c>
      <c r="I18" s="74"/>
      <c r="J18" s="74"/>
      <c r="K18" s="101" t="s">
        <v>782</v>
      </c>
      <c r="L18" s="92"/>
      <c r="M18" s="92"/>
      <c r="N18" s="95">
        <v>0</v>
      </c>
      <c r="O18" s="97">
        <v>0</v>
      </c>
      <c r="P18" s="92"/>
      <c r="Q18" s="98">
        <v>0</v>
      </c>
      <c r="R18" s="94">
        <f t="shared" si="1"/>
        <v>0</v>
      </c>
      <c r="S18" s="74"/>
      <c r="T18" s="74"/>
    </row>
    <row r="19" spans="1:20">
      <c r="A19" s="101" t="s">
        <v>783</v>
      </c>
      <c r="B19" s="92"/>
      <c r="C19" s="92"/>
      <c r="D19" s="95">
        <v>0</v>
      </c>
      <c r="E19" s="97">
        <v>0</v>
      </c>
      <c r="F19" s="92"/>
      <c r="G19" s="98">
        <v>0</v>
      </c>
      <c r="H19" s="94">
        <f t="shared" si="0"/>
        <v>0</v>
      </c>
      <c r="I19" s="74"/>
      <c r="J19" s="74"/>
      <c r="K19" s="101" t="s">
        <v>783</v>
      </c>
      <c r="L19" s="92"/>
      <c r="M19" s="92"/>
      <c r="N19" s="95">
        <v>0</v>
      </c>
      <c r="O19" s="97">
        <v>0</v>
      </c>
      <c r="P19" s="92"/>
      <c r="Q19" s="98">
        <v>0</v>
      </c>
      <c r="R19" s="94">
        <f t="shared" si="1"/>
        <v>0</v>
      </c>
      <c r="S19" s="74"/>
      <c r="T19" s="74"/>
    </row>
    <row r="20" spans="1:20">
      <c r="A20" s="101" t="s">
        <v>784</v>
      </c>
      <c r="B20" s="92"/>
      <c r="C20" s="92"/>
      <c r="D20" s="95">
        <v>0</v>
      </c>
      <c r="E20" s="97">
        <v>0</v>
      </c>
      <c r="F20" s="92"/>
      <c r="G20" s="98">
        <v>0</v>
      </c>
      <c r="H20" s="94">
        <f t="shared" si="0"/>
        <v>0</v>
      </c>
      <c r="I20" s="74"/>
      <c r="J20" s="74"/>
      <c r="K20" s="101" t="s">
        <v>784</v>
      </c>
      <c r="L20" s="92"/>
      <c r="M20" s="92"/>
      <c r="N20" s="95">
        <v>0</v>
      </c>
      <c r="O20" s="97">
        <v>0</v>
      </c>
      <c r="P20" s="92"/>
      <c r="Q20" s="98">
        <v>0</v>
      </c>
      <c r="R20" s="94">
        <f t="shared" si="1"/>
        <v>0</v>
      </c>
      <c r="S20" s="74"/>
      <c r="T20" s="74"/>
    </row>
    <row r="21" spans="1:20">
      <c r="A21" s="101" t="s">
        <v>785</v>
      </c>
      <c r="B21" s="92"/>
      <c r="C21" s="92"/>
      <c r="D21" s="95">
        <v>0</v>
      </c>
      <c r="E21" s="97">
        <v>0</v>
      </c>
      <c r="F21" s="92"/>
      <c r="G21" s="98">
        <v>0</v>
      </c>
      <c r="H21" s="94">
        <f t="shared" si="0"/>
        <v>0</v>
      </c>
      <c r="I21" s="74"/>
      <c r="J21" s="74"/>
      <c r="K21" s="101" t="s">
        <v>785</v>
      </c>
      <c r="L21" s="92"/>
      <c r="M21" s="92"/>
      <c r="N21" s="95">
        <v>0</v>
      </c>
      <c r="O21" s="97">
        <v>0</v>
      </c>
      <c r="P21" s="92"/>
      <c r="Q21" s="98">
        <v>0</v>
      </c>
      <c r="R21" s="94">
        <f t="shared" si="1"/>
        <v>0</v>
      </c>
      <c r="S21" s="74"/>
      <c r="T21" s="74"/>
    </row>
    <row r="22" spans="1:20">
      <c r="A22" s="101" t="s">
        <v>786</v>
      </c>
      <c r="B22" s="92"/>
      <c r="C22" s="92"/>
      <c r="D22" s="95">
        <v>0</v>
      </c>
      <c r="E22" s="97">
        <v>0</v>
      </c>
      <c r="F22" s="92"/>
      <c r="G22" s="98">
        <v>0</v>
      </c>
      <c r="H22" s="94">
        <f t="shared" si="0"/>
        <v>0</v>
      </c>
      <c r="I22" s="74"/>
      <c r="J22" s="74"/>
      <c r="K22" s="101" t="s">
        <v>786</v>
      </c>
      <c r="L22" s="92"/>
      <c r="M22" s="92"/>
      <c r="N22" s="95">
        <v>0</v>
      </c>
      <c r="O22" s="97">
        <v>0</v>
      </c>
      <c r="P22" s="92"/>
      <c r="Q22" s="98">
        <v>0</v>
      </c>
      <c r="R22" s="94">
        <f t="shared" si="1"/>
        <v>0</v>
      </c>
      <c r="S22" s="74"/>
      <c r="T22" s="74"/>
    </row>
    <row r="23" spans="1:20">
      <c r="A23" s="101" t="s">
        <v>787</v>
      </c>
      <c r="B23" s="102"/>
      <c r="C23" s="102"/>
      <c r="D23" s="103">
        <v>0</v>
      </c>
      <c r="E23" s="104">
        <v>0</v>
      </c>
      <c r="F23" s="92"/>
      <c r="G23" s="105">
        <v>0</v>
      </c>
      <c r="H23" s="94">
        <f t="shared" si="0"/>
        <v>0</v>
      </c>
      <c r="I23" s="74"/>
      <c r="J23" s="74"/>
      <c r="K23" s="101" t="s">
        <v>787</v>
      </c>
      <c r="L23" s="102"/>
      <c r="M23" s="102"/>
      <c r="N23" s="103">
        <v>0</v>
      </c>
      <c r="O23" s="104">
        <v>0</v>
      </c>
      <c r="P23" s="92"/>
      <c r="Q23" s="105">
        <v>0</v>
      </c>
      <c r="R23" s="94">
        <f t="shared" si="1"/>
        <v>0</v>
      </c>
      <c r="S23" s="74"/>
      <c r="T23" s="74"/>
    </row>
    <row r="24" spans="1:20">
      <c r="A24" s="106" t="s">
        <v>788</v>
      </c>
      <c r="B24" s="94">
        <f>ROUND(SUM(B9:B23),2)</f>
        <v>0</v>
      </c>
      <c r="C24" s="94">
        <f t="shared" ref="C24:G24" si="2">ROUND(SUM(C9:C23),2)</f>
        <v>0</v>
      </c>
      <c r="D24" s="94">
        <f t="shared" si="2"/>
        <v>0</v>
      </c>
      <c r="E24" s="94">
        <f t="shared" si="2"/>
        <v>0</v>
      </c>
      <c r="F24" s="84"/>
      <c r="G24" s="94">
        <f t="shared" si="2"/>
        <v>0</v>
      </c>
      <c r="H24" s="92"/>
      <c r="I24" s="74"/>
      <c r="J24" s="74"/>
      <c r="K24" s="106" t="s">
        <v>788</v>
      </c>
      <c r="L24" s="94">
        <f>ROUND(SUM(L9:L23),2)</f>
        <v>0</v>
      </c>
      <c r="M24" s="94">
        <f t="shared" ref="M24:Q24" si="3">ROUND(SUM(M9:M23),2)</f>
        <v>0</v>
      </c>
      <c r="N24" s="94">
        <f t="shared" si="3"/>
        <v>0</v>
      </c>
      <c r="O24" s="94">
        <f t="shared" si="3"/>
        <v>0</v>
      </c>
      <c r="P24" s="84"/>
      <c r="Q24" s="94">
        <f t="shared" si="3"/>
        <v>0</v>
      </c>
      <c r="R24" s="92"/>
      <c r="S24" s="74"/>
      <c r="T24" s="74"/>
    </row>
    <row r="25" spans="1:20">
      <c r="A25" s="107" t="s">
        <v>789</v>
      </c>
      <c r="B25" s="108"/>
      <c r="C25" s="108"/>
      <c r="D25" s="108"/>
      <c r="E25" s="108"/>
      <c r="F25" s="108"/>
      <c r="G25" s="88" t="s">
        <v>790</v>
      </c>
      <c r="H25" s="94">
        <f>ROUND(((H9)/2)+H10,2)</f>
        <v>0</v>
      </c>
      <c r="I25" s="74"/>
      <c r="J25" s="74"/>
      <c r="K25" s="107" t="s">
        <v>789</v>
      </c>
      <c r="L25" s="108"/>
      <c r="M25" s="108"/>
      <c r="N25" s="108"/>
      <c r="O25" s="108"/>
      <c r="P25" s="108"/>
      <c r="Q25" s="88" t="s">
        <v>790</v>
      </c>
      <c r="R25" s="94">
        <f>ROUND(((R9)/2)+R10,2)</f>
        <v>0</v>
      </c>
      <c r="S25" s="74"/>
      <c r="T25" s="74"/>
    </row>
    <row r="26" spans="1:20">
      <c r="A26" s="109"/>
      <c r="B26" s="108"/>
      <c r="C26" s="108"/>
      <c r="D26" s="108"/>
      <c r="E26" s="108"/>
      <c r="F26" s="108"/>
      <c r="G26" s="88" t="s">
        <v>791</v>
      </c>
      <c r="H26" s="110">
        <f>ROUND(SUM(H12:H23),2)</f>
        <v>0</v>
      </c>
      <c r="I26" s="74"/>
      <c r="J26" s="74"/>
      <c r="K26" s="109"/>
      <c r="L26" s="108"/>
      <c r="M26" s="108"/>
      <c r="N26" s="108"/>
      <c r="O26" s="108"/>
      <c r="P26" s="108"/>
      <c r="Q26" s="88" t="s">
        <v>791</v>
      </c>
      <c r="R26" s="110">
        <f>ROUND(SUM(R12:R23),2)</f>
        <v>0</v>
      </c>
      <c r="S26" s="74"/>
      <c r="T26" s="74"/>
    </row>
    <row r="27" spans="1:20">
      <c r="A27" s="74"/>
      <c r="B27" s="74"/>
      <c r="C27" s="74"/>
      <c r="D27" s="108"/>
      <c r="E27" s="108"/>
      <c r="F27" s="108"/>
      <c r="G27" s="106" t="s">
        <v>792</v>
      </c>
      <c r="H27" s="94">
        <f>ROUND(SUM(H25:H26),2)</f>
        <v>0</v>
      </c>
      <c r="I27" s="74"/>
      <c r="J27" s="74"/>
      <c r="K27" s="74"/>
      <c r="L27" s="74"/>
      <c r="M27" s="74"/>
      <c r="N27" s="108"/>
      <c r="O27" s="108"/>
      <c r="P27" s="108"/>
      <c r="Q27" s="106" t="s">
        <v>792</v>
      </c>
      <c r="R27" s="94">
        <f>ROUND(SUM(R25:R26),2)</f>
        <v>0</v>
      </c>
      <c r="S27" s="74"/>
      <c r="T27" s="74"/>
    </row>
    <row r="28" spans="1:20" ht="15" thickBot="1">
      <c r="A28" s="108"/>
      <c r="B28" s="108"/>
      <c r="C28" s="111"/>
      <c r="D28" s="108"/>
      <c r="E28" s="108"/>
      <c r="F28" s="108"/>
      <c r="G28" s="106" t="s">
        <v>793</v>
      </c>
      <c r="H28" s="112">
        <v>0</v>
      </c>
      <c r="I28" s="74"/>
      <c r="J28" s="74"/>
      <c r="K28" s="108"/>
      <c r="L28" s="108"/>
      <c r="M28" s="111"/>
      <c r="N28" s="108"/>
      <c r="O28" s="108"/>
      <c r="P28" s="108"/>
      <c r="Q28" s="106" t="s">
        <v>793</v>
      </c>
      <c r="R28" s="112">
        <v>0</v>
      </c>
      <c r="S28" s="74"/>
      <c r="T28" s="74"/>
    </row>
    <row r="29" spans="1:20" ht="15" thickTop="1">
      <c r="A29" s="113" t="s">
        <v>794</v>
      </c>
      <c r="B29" s="113" t="s">
        <v>794</v>
      </c>
      <c r="C29" s="113" t="s">
        <v>794</v>
      </c>
      <c r="D29" s="114"/>
      <c r="E29" s="108"/>
      <c r="F29" s="108"/>
      <c r="G29" s="106" t="s">
        <v>795</v>
      </c>
      <c r="H29" s="94">
        <f>ROUND(SUM(H27:H28),2)</f>
        <v>0</v>
      </c>
      <c r="I29" s="74"/>
      <c r="J29" s="74"/>
      <c r="K29" s="113"/>
      <c r="L29" s="113"/>
      <c r="M29" s="113"/>
      <c r="N29" s="114"/>
      <c r="O29" s="108"/>
      <c r="P29" s="108"/>
      <c r="Q29" s="106" t="s">
        <v>795</v>
      </c>
      <c r="R29" s="94">
        <f>ROUND(SUM(R27:R28),2)</f>
        <v>0</v>
      </c>
      <c r="S29" s="74"/>
      <c r="T29" s="74"/>
    </row>
    <row r="30" spans="1:20">
      <c r="A30" s="113"/>
      <c r="B30" s="113"/>
      <c r="C30" s="113"/>
      <c r="D30" s="114"/>
      <c r="E30" s="108"/>
      <c r="F30" s="108"/>
      <c r="G30" s="106"/>
      <c r="H30" s="92"/>
      <c r="I30" s="74"/>
      <c r="J30" s="74"/>
      <c r="K30" s="113"/>
      <c r="L30" s="113"/>
      <c r="M30" s="113"/>
      <c r="N30" s="114"/>
      <c r="O30" s="108"/>
      <c r="P30" s="108"/>
      <c r="Q30" s="106"/>
      <c r="R30" s="92"/>
      <c r="S30" s="74"/>
      <c r="T30" s="74"/>
    </row>
    <row r="31" spans="1:20">
      <c r="A31" s="74"/>
      <c r="B31" s="101" t="s">
        <v>796</v>
      </c>
      <c r="C31" s="93">
        <v>0</v>
      </c>
      <c r="D31" s="74"/>
      <c r="E31" s="74"/>
      <c r="F31" s="74"/>
      <c r="G31" s="74"/>
      <c r="H31" s="74"/>
      <c r="I31" s="74"/>
      <c r="J31" s="74"/>
      <c r="K31" s="74"/>
      <c r="L31" s="101" t="s">
        <v>796</v>
      </c>
      <c r="M31" s="93">
        <v>0</v>
      </c>
      <c r="N31" s="74"/>
      <c r="O31" s="74"/>
      <c r="P31" s="74"/>
      <c r="Q31" s="74"/>
      <c r="R31" s="74"/>
      <c r="S31" s="74"/>
      <c r="T31" s="74"/>
    </row>
    <row r="32" spans="1:20">
      <c r="A32" s="113"/>
      <c r="B32" s="115" t="s">
        <v>797</v>
      </c>
      <c r="C32" s="98">
        <v>0</v>
      </c>
      <c r="D32" s="74"/>
      <c r="E32" s="74"/>
      <c r="F32" s="116" t="s">
        <v>798</v>
      </c>
      <c r="G32" s="117"/>
      <c r="H32" s="74"/>
      <c r="I32" s="74"/>
      <c r="J32" s="74"/>
      <c r="K32" s="113"/>
      <c r="L32" s="115" t="s">
        <v>797</v>
      </c>
      <c r="M32" s="98">
        <v>0</v>
      </c>
      <c r="N32" s="74"/>
      <c r="O32" s="74"/>
      <c r="P32" s="116" t="s">
        <v>798</v>
      </c>
      <c r="Q32" s="117"/>
      <c r="R32" s="74"/>
      <c r="S32" s="74"/>
      <c r="T32" s="74"/>
    </row>
    <row r="33" spans="1:20">
      <c r="A33" s="114" t="s">
        <v>799</v>
      </c>
      <c r="B33" s="114"/>
      <c r="C33" s="113"/>
      <c r="D33" s="74"/>
      <c r="E33" s="74"/>
      <c r="F33" s="118" t="s">
        <v>800</v>
      </c>
      <c r="G33" s="118" t="s">
        <v>801</v>
      </c>
      <c r="H33" s="74"/>
      <c r="I33" s="74"/>
      <c r="J33" s="74"/>
      <c r="K33" s="114" t="s">
        <v>799</v>
      </c>
      <c r="L33" s="114"/>
      <c r="M33" s="113"/>
      <c r="N33" s="74"/>
      <c r="O33" s="74"/>
      <c r="P33" s="118" t="s">
        <v>800</v>
      </c>
      <c r="Q33" s="118" t="s">
        <v>801</v>
      </c>
      <c r="R33" s="74"/>
      <c r="S33" s="74"/>
      <c r="T33" s="74"/>
    </row>
    <row r="34" spans="1:20">
      <c r="A34" s="74"/>
      <c r="B34" s="74"/>
      <c r="C34" s="74"/>
      <c r="D34" s="74"/>
      <c r="E34" s="74"/>
      <c r="F34" s="119">
        <v>1</v>
      </c>
      <c r="G34" s="93">
        <v>0</v>
      </c>
      <c r="H34" s="120"/>
      <c r="I34" s="74"/>
      <c r="J34" s="74"/>
      <c r="K34" s="74"/>
      <c r="L34" s="74"/>
      <c r="M34" s="74"/>
      <c r="N34" s="74"/>
      <c r="O34" s="74"/>
      <c r="P34" s="119">
        <v>1</v>
      </c>
      <c r="Q34" s="93">
        <v>0</v>
      </c>
      <c r="R34" s="120"/>
      <c r="S34" s="74"/>
      <c r="T34" s="74"/>
    </row>
    <row r="35" spans="1:20">
      <c r="A35" s="74"/>
      <c r="B35" s="121" t="s">
        <v>802</v>
      </c>
      <c r="C35" s="93">
        <v>0</v>
      </c>
      <c r="D35" s="74"/>
      <c r="E35" s="74"/>
      <c r="F35" s="119">
        <v>2</v>
      </c>
      <c r="G35" s="98">
        <v>0</v>
      </c>
      <c r="H35" s="120"/>
      <c r="I35" s="74"/>
      <c r="J35" s="74"/>
      <c r="K35" s="74"/>
      <c r="L35" s="121" t="s">
        <v>802</v>
      </c>
      <c r="M35" s="93">
        <v>0</v>
      </c>
      <c r="N35" s="74"/>
      <c r="O35" s="74"/>
      <c r="P35" s="119">
        <v>2</v>
      </c>
      <c r="Q35" s="98">
        <v>0</v>
      </c>
      <c r="R35" s="120"/>
      <c r="S35" s="74"/>
      <c r="T35" s="74"/>
    </row>
    <row r="36" spans="1:20">
      <c r="A36" s="117"/>
      <c r="B36" s="74"/>
      <c r="C36" s="74"/>
      <c r="D36" s="74"/>
      <c r="E36" s="74"/>
      <c r="F36" s="122">
        <v>3</v>
      </c>
      <c r="G36" s="105">
        <v>0</v>
      </c>
      <c r="H36" s="123"/>
      <c r="I36" s="74"/>
      <c r="J36" s="74"/>
      <c r="K36" s="117"/>
      <c r="L36" s="74"/>
      <c r="M36" s="74"/>
      <c r="N36" s="74"/>
      <c r="O36" s="74"/>
      <c r="P36" s="122">
        <v>3</v>
      </c>
      <c r="Q36" s="105">
        <v>0</v>
      </c>
      <c r="R36" s="123"/>
      <c r="S36" s="74"/>
      <c r="T36" s="74"/>
    </row>
    <row r="37" spans="1:20">
      <c r="A37" s="124" t="s">
        <v>803</v>
      </c>
      <c r="B37" s="74"/>
      <c r="C37" s="74"/>
      <c r="D37" s="74"/>
      <c r="E37" s="74"/>
      <c r="F37" s="125" t="s">
        <v>804</v>
      </c>
      <c r="G37" s="126">
        <f>ROUND(SUM(G34:G36),2)</f>
        <v>0</v>
      </c>
      <c r="H37" s="127"/>
      <c r="I37" s="74"/>
      <c r="J37" s="74"/>
      <c r="K37" s="124" t="s">
        <v>803</v>
      </c>
      <c r="L37" s="74"/>
      <c r="M37" s="74"/>
      <c r="N37" s="74"/>
      <c r="O37" s="74"/>
      <c r="P37" s="125" t="s">
        <v>804</v>
      </c>
      <c r="Q37" s="126">
        <f>ROUND(SUM(Q34:Q36),2)</f>
        <v>0</v>
      </c>
      <c r="R37" s="127"/>
      <c r="S37" s="74"/>
      <c r="T37" s="74"/>
    </row>
    <row r="38" spans="1:20">
      <c r="A38" s="128" t="s">
        <v>801</v>
      </c>
      <c r="B38" s="74"/>
      <c r="C38" s="74"/>
      <c r="D38" s="74"/>
      <c r="E38" s="74"/>
      <c r="F38" s="74"/>
      <c r="G38" s="74"/>
      <c r="H38" s="74"/>
      <c r="I38" s="74"/>
      <c r="J38" s="74"/>
      <c r="K38" s="128" t="s">
        <v>801</v>
      </c>
      <c r="L38" s="74"/>
      <c r="M38" s="74"/>
      <c r="N38" s="74"/>
      <c r="O38" s="74"/>
      <c r="P38" s="74"/>
      <c r="Q38" s="74"/>
      <c r="R38" s="74"/>
      <c r="S38" s="74"/>
      <c r="T38" s="74"/>
    </row>
    <row r="39" spans="1:20">
      <c r="A39" s="93">
        <v>0</v>
      </c>
      <c r="B39" s="74"/>
      <c r="C39" s="74"/>
      <c r="D39" s="74"/>
      <c r="E39" s="74"/>
      <c r="F39" s="74"/>
      <c r="G39" s="74"/>
      <c r="H39" s="74"/>
      <c r="I39" s="74"/>
      <c r="J39" s="74"/>
      <c r="K39" s="93">
        <v>0</v>
      </c>
      <c r="L39" s="74"/>
      <c r="M39" s="74"/>
      <c r="N39" s="74"/>
      <c r="O39" s="74"/>
      <c r="P39" s="74"/>
      <c r="Q39" s="74"/>
      <c r="R39" s="74"/>
      <c r="S39" s="74"/>
      <c r="T39" s="74"/>
    </row>
    <row r="40" spans="1:20">
      <c r="A40" s="74"/>
      <c r="B40" s="74"/>
      <c r="C40" s="74"/>
      <c r="D40" s="74"/>
      <c r="E40" s="74"/>
      <c r="F40" s="121"/>
      <c r="G40" s="74"/>
      <c r="H40" s="74"/>
      <c r="I40" s="74"/>
      <c r="J40" s="74"/>
      <c r="K40" s="74"/>
      <c r="L40" s="74"/>
      <c r="M40" s="74"/>
      <c r="N40" s="74"/>
      <c r="O40" s="74"/>
      <c r="P40" s="121"/>
      <c r="Q40" s="74"/>
      <c r="R40" s="74"/>
      <c r="S40" s="74"/>
      <c r="T40" s="74"/>
    </row>
    <row r="41" spans="1:20">
      <c r="A41" s="74"/>
      <c r="B41" s="129" t="s">
        <v>805</v>
      </c>
      <c r="C41" s="130"/>
      <c r="D41" s="130"/>
      <c r="E41" s="130"/>
      <c r="F41" s="130"/>
      <c r="G41" s="130"/>
      <c r="H41" s="130"/>
      <c r="I41" s="131"/>
      <c r="J41" s="74"/>
      <c r="K41" s="74"/>
      <c r="L41" s="129" t="s">
        <v>805</v>
      </c>
      <c r="M41" s="130"/>
      <c r="N41" s="130"/>
      <c r="O41" s="130"/>
      <c r="P41" s="130"/>
      <c r="Q41" s="130"/>
      <c r="R41" s="130"/>
      <c r="S41" s="131"/>
      <c r="T41" s="74"/>
    </row>
    <row r="42" spans="1:20">
      <c r="A42" s="74"/>
      <c r="B42" s="132"/>
      <c r="C42" s="133" t="s">
        <v>806</v>
      </c>
      <c r="D42" s="113"/>
      <c r="E42" s="113"/>
      <c r="F42" s="113"/>
      <c r="G42" s="134" t="s">
        <v>807</v>
      </c>
      <c r="H42" s="113"/>
      <c r="I42" s="135"/>
      <c r="J42" s="74"/>
      <c r="K42" s="74"/>
      <c r="L42" s="132"/>
      <c r="M42" s="133" t="s">
        <v>806</v>
      </c>
      <c r="N42" s="113"/>
      <c r="O42" s="113"/>
      <c r="P42" s="113"/>
      <c r="Q42" s="134" t="s">
        <v>807</v>
      </c>
      <c r="R42" s="113"/>
      <c r="S42" s="135"/>
      <c r="T42" s="74"/>
    </row>
    <row r="43" spans="1:20">
      <c r="A43" s="74"/>
      <c r="B43" s="132"/>
      <c r="C43" s="136" t="s">
        <v>801</v>
      </c>
      <c r="D43" s="113"/>
      <c r="E43" s="137"/>
      <c r="F43" s="108"/>
      <c r="G43" s="136" t="s">
        <v>801</v>
      </c>
      <c r="H43" s="113"/>
      <c r="I43" s="135"/>
      <c r="J43" s="74"/>
      <c r="K43" s="74"/>
      <c r="L43" s="132"/>
      <c r="M43" s="136" t="s">
        <v>801</v>
      </c>
      <c r="N43" s="113"/>
      <c r="O43" s="137"/>
      <c r="P43" s="108"/>
      <c r="Q43" s="136" t="s">
        <v>801</v>
      </c>
      <c r="R43" s="113"/>
      <c r="S43" s="135"/>
      <c r="T43" s="74"/>
    </row>
    <row r="44" spans="1:20">
      <c r="A44" s="74"/>
      <c r="B44" s="132"/>
      <c r="C44" s="93">
        <v>0</v>
      </c>
      <c r="D44" s="138"/>
      <c r="E44" s="137"/>
      <c r="F44" s="108"/>
      <c r="G44" s="93">
        <v>0</v>
      </c>
      <c r="H44" s="113"/>
      <c r="I44" s="135"/>
      <c r="J44" s="74"/>
      <c r="K44" s="74"/>
      <c r="L44" s="132"/>
      <c r="M44" s="93">
        <v>0</v>
      </c>
      <c r="N44" s="138"/>
      <c r="O44" s="137"/>
      <c r="P44" s="108"/>
      <c r="Q44" s="93">
        <v>0</v>
      </c>
      <c r="R44" s="113"/>
      <c r="S44" s="135"/>
      <c r="T44" s="74"/>
    </row>
    <row r="45" spans="1:20">
      <c r="A45" s="74"/>
      <c r="B45" s="132"/>
      <c r="C45" s="113"/>
      <c r="D45" s="138"/>
      <c r="E45" s="137"/>
      <c r="F45" s="108"/>
      <c r="G45" s="139"/>
      <c r="H45" s="113"/>
      <c r="I45" s="135"/>
      <c r="J45" s="74"/>
      <c r="K45" s="74"/>
      <c r="L45" s="132"/>
      <c r="M45" s="113"/>
      <c r="N45" s="138"/>
      <c r="O45" s="137"/>
      <c r="P45" s="108"/>
      <c r="Q45" s="139"/>
      <c r="R45" s="113"/>
      <c r="S45" s="135"/>
      <c r="T45" s="74"/>
    </row>
    <row r="46" spans="1:20">
      <c r="A46" s="74"/>
      <c r="B46" s="132"/>
      <c r="C46" s="140" t="s">
        <v>808</v>
      </c>
      <c r="D46" s="141"/>
      <c r="E46" s="137"/>
      <c r="F46" s="113"/>
      <c r="G46" s="113"/>
      <c r="H46" s="113"/>
      <c r="I46" s="142"/>
      <c r="J46" s="74"/>
      <c r="K46" s="74"/>
      <c r="L46" s="132"/>
      <c r="M46" s="140" t="s">
        <v>808</v>
      </c>
      <c r="N46" s="141"/>
      <c r="O46" s="137"/>
      <c r="P46" s="113"/>
      <c r="Q46" s="113"/>
      <c r="R46" s="113"/>
      <c r="S46" s="142"/>
      <c r="T46" s="74"/>
    </row>
    <row r="47" spans="1:20">
      <c r="A47" s="74"/>
      <c r="B47" s="132"/>
      <c r="C47" s="143" t="s">
        <v>809</v>
      </c>
      <c r="D47" s="143" t="s">
        <v>810</v>
      </c>
      <c r="E47" s="113"/>
      <c r="F47" s="144"/>
      <c r="G47" s="113"/>
      <c r="H47" s="113"/>
      <c r="I47" s="135"/>
      <c r="J47" s="74"/>
      <c r="K47" s="74"/>
      <c r="L47" s="132"/>
      <c r="M47" s="143" t="s">
        <v>809</v>
      </c>
      <c r="N47" s="143" t="s">
        <v>810</v>
      </c>
      <c r="O47" s="113"/>
      <c r="P47" s="144"/>
      <c r="Q47" s="113"/>
      <c r="R47" s="113"/>
      <c r="S47" s="135"/>
      <c r="T47" s="74"/>
    </row>
    <row r="48" spans="1:20">
      <c r="A48" s="74"/>
      <c r="B48" s="132"/>
      <c r="C48" s="89">
        <v>0</v>
      </c>
      <c r="D48" s="91">
        <v>0</v>
      </c>
      <c r="E48" s="113"/>
      <c r="F48" s="113"/>
      <c r="G48" s="113"/>
      <c r="H48" s="113"/>
      <c r="I48" s="135"/>
      <c r="J48" s="74"/>
      <c r="K48" s="74"/>
      <c r="L48" s="132"/>
      <c r="M48" s="89">
        <v>0</v>
      </c>
      <c r="N48" s="91">
        <v>0</v>
      </c>
      <c r="O48" s="113"/>
      <c r="P48" s="113"/>
      <c r="Q48" s="113"/>
      <c r="R48" s="113"/>
      <c r="S48" s="135"/>
      <c r="T48" s="74"/>
    </row>
    <row r="49" spans="1:20">
      <c r="A49" s="74"/>
      <c r="B49" s="145"/>
      <c r="C49" s="146"/>
      <c r="D49" s="146"/>
      <c r="E49" s="146"/>
      <c r="F49" s="146"/>
      <c r="G49" s="147"/>
      <c r="H49" s="146"/>
      <c r="I49" s="148"/>
      <c r="J49" s="74"/>
      <c r="K49" s="74"/>
      <c r="L49" s="145"/>
      <c r="M49" s="146"/>
      <c r="N49" s="146"/>
      <c r="O49" s="146"/>
      <c r="P49" s="146"/>
      <c r="Q49" s="147"/>
      <c r="R49" s="146"/>
      <c r="S49" s="148"/>
      <c r="T49" s="74"/>
    </row>
    <row r="50" spans="1:20">
      <c r="A50" s="74"/>
      <c r="B50" s="74"/>
      <c r="C50" s="74"/>
      <c r="D50" s="74"/>
      <c r="E50" s="74"/>
      <c r="F50" s="74"/>
      <c r="G50" s="74"/>
      <c r="H50" s="74"/>
      <c r="I50" s="74"/>
      <c r="J50" s="74"/>
      <c r="K50" s="74"/>
      <c r="L50" s="74"/>
      <c r="M50" s="74"/>
      <c r="N50" s="74"/>
      <c r="O50" s="74"/>
      <c r="P50" s="74"/>
      <c r="Q50" s="74"/>
      <c r="R50" s="74"/>
      <c r="S50" s="74"/>
      <c r="T50" s="74"/>
    </row>
    <row r="51" spans="1:20">
      <c r="A51" s="149" t="s">
        <v>811</v>
      </c>
      <c r="B51" s="74"/>
      <c r="C51" s="74"/>
      <c r="D51" s="74"/>
      <c r="E51" s="74"/>
      <c r="F51" s="74"/>
      <c r="G51" s="149" t="s">
        <v>812</v>
      </c>
      <c r="H51" s="74"/>
      <c r="I51" s="74"/>
      <c r="J51" s="74"/>
      <c r="K51" s="149" t="s">
        <v>811</v>
      </c>
      <c r="L51" s="74"/>
      <c r="M51" s="74"/>
      <c r="N51" s="74"/>
      <c r="O51" s="74"/>
      <c r="P51" s="74"/>
      <c r="Q51" s="149" t="s">
        <v>812</v>
      </c>
      <c r="R51" s="74"/>
      <c r="S51" s="74"/>
      <c r="T51" s="74"/>
    </row>
    <row r="52" spans="1:20">
      <c r="A52" s="136" t="s">
        <v>801</v>
      </c>
      <c r="B52" s="74"/>
      <c r="C52" s="74"/>
      <c r="D52" s="74"/>
      <c r="E52" s="74"/>
      <c r="F52" s="74"/>
      <c r="G52" s="136" t="s">
        <v>801</v>
      </c>
      <c r="H52" s="74"/>
      <c r="I52" s="74"/>
      <c r="J52" s="74"/>
      <c r="K52" s="136" t="s">
        <v>801</v>
      </c>
      <c r="L52" s="74"/>
      <c r="M52" s="74"/>
      <c r="N52" s="74"/>
      <c r="O52" s="74"/>
      <c r="P52" s="74"/>
      <c r="Q52" s="136" t="s">
        <v>801</v>
      </c>
      <c r="R52" s="74"/>
      <c r="S52" s="74"/>
      <c r="T52" s="74"/>
    </row>
    <row r="53" spans="1:20">
      <c r="A53" s="93">
        <v>0</v>
      </c>
      <c r="B53" s="74"/>
      <c r="C53" s="74"/>
      <c r="D53" s="74"/>
      <c r="E53" s="74"/>
      <c r="F53" s="74"/>
      <c r="G53" s="93">
        <v>0</v>
      </c>
      <c r="H53" s="74"/>
      <c r="I53" s="74"/>
      <c r="J53" s="74"/>
      <c r="K53" s="93">
        <v>0</v>
      </c>
      <c r="L53" s="74"/>
      <c r="M53" s="74"/>
      <c r="N53" s="74"/>
      <c r="O53" s="74"/>
      <c r="P53" s="74"/>
      <c r="Q53" s="93">
        <v>0</v>
      </c>
      <c r="R53" s="74"/>
      <c r="S53" s="74"/>
      <c r="T53" s="74"/>
    </row>
    <row r="54" spans="1:20">
      <c r="A54" s="74"/>
      <c r="B54" s="74"/>
      <c r="C54" s="74"/>
      <c r="D54" s="74"/>
      <c r="E54" s="74"/>
      <c r="F54" s="74"/>
      <c r="G54" s="74"/>
      <c r="H54" s="74"/>
      <c r="I54" s="74"/>
      <c r="J54" s="74"/>
      <c r="K54" s="74"/>
      <c r="L54" s="74"/>
      <c r="M54" s="74"/>
      <c r="N54" s="74"/>
      <c r="O54" s="74"/>
      <c r="P54" s="74"/>
      <c r="Q54" s="74"/>
      <c r="R54" s="74"/>
      <c r="S54" s="74"/>
      <c r="T54" s="74"/>
    </row>
    <row r="55" spans="1:20">
      <c r="A55" s="150" t="str">
        <f>"1."</f>
        <v>1.</v>
      </c>
      <c r="B55" s="151" t="s">
        <v>813</v>
      </c>
      <c r="C55" s="108"/>
      <c r="D55" s="108"/>
      <c r="E55" s="108"/>
      <c r="F55" s="84"/>
      <c r="G55" s="84"/>
      <c r="H55" s="84"/>
      <c r="I55" s="74"/>
      <c r="J55" s="74"/>
      <c r="K55" s="150" t="str">
        <f>"1."</f>
        <v>1.</v>
      </c>
      <c r="L55" s="151" t="s">
        <v>813</v>
      </c>
      <c r="M55" s="108"/>
      <c r="N55" s="108"/>
      <c r="O55" s="108"/>
      <c r="P55" s="84"/>
      <c r="Q55" s="84"/>
      <c r="R55" s="84"/>
      <c r="S55" s="74"/>
      <c r="T55" s="74"/>
    </row>
    <row r="56" spans="1:20">
      <c r="A56" s="152"/>
      <c r="B56" s="114" t="s">
        <v>814</v>
      </c>
      <c r="C56" s="74"/>
      <c r="D56" s="153"/>
      <c r="E56" s="86" t="s">
        <v>815</v>
      </c>
      <c r="F56" s="86" t="s">
        <v>816</v>
      </c>
      <c r="G56" s="84"/>
      <c r="H56" s="86" t="s">
        <v>801</v>
      </c>
      <c r="I56" s="74"/>
      <c r="J56" s="74"/>
      <c r="K56" s="152"/>
      <c r="L56" s="114" t="s">
        <v>814</v>
      </c>
      <c r="M56" s="74"/>
      <c r="N56" s="153"/>
      <c r="O56" s="86" t="s">
        <v>815</v>
      </c>
      <c r="P56" s="86" t="s">
        <v>816</v>
      </c>
      <c r="Q56" s="84"/>
      <c r="R56" s="86" t="s">
        <v>801</v>
      </c>
      <c r="S56" s="74"/>
      <c r="T56" s="74"/>
    </row>
    <row r="57" spans="1:20">
      <c r="A57" s="152"/>
      <c r="B57" s="435"/>
      <c r="C57" s="436"/>
      <c r="D57" s="108"/>
      <c r="E57" s="154"/>
      <c r="F57" s="155"/>
      <c r="G57" s="84"/>
      <c r="H57" s="93">
        <v>0</v>
      </c>
      <c r="I57" s="156"/>
      <c r="J57" s="74"/>
      <c r="K57" s="152"/>
      <c r="L57" s="432">
        <f t="shared" ref="L57:L76" si="4">B57</f>
        <v>0</v>
      </c>
      <c r="M57" s="433"/>
      <c r="N57" s="108"/>
      <c r="O57" s="157">
        <f t="shared" ref="O57:P76" si="5">E57</f>
        <v>0</v>
      </c>
      <c r="P57" s="158">
        <f t="shared" si="5"/>
        <v>0</v>
      </c>
      <c r="Q57" s="84"/>
      <c r="R57" s="93">
        <v>0</v>
      </c>
      <c r="S57" s="156"/>
      <c r="T57" s="74"/>
    </row>
    <row r="58" spans="1:20">
      <c r="A58" s="152"/>
      <c r="B58" s="434"/>
      <c r="C58" s="429"/>
      <c r="D58" s="108"/>
      <c r="E58" s="159"/>
      <c r="F58" s="160"/>
      <c r="G58" s="84"/>
      <c r="H58" s="98">
        <v>0</v>
      </c>
      <c r="I58" s="156"/>
      <c r="J58" s="74"/>
      <c r="K58" s="152"/>
      <c r="L58" s="430">
        <f t="shared" si="4"/>
        <v>0</v>
      </c>
      <c r="M58" s="431"/>
      <c r="N58" s="108"/>
      <c r="O58" s="161">
        <f t="shared" si="5"/>
        <v>0</v>
      </c>
      <c r="P58" s="162">
        <f t="shared" si="5"/>
        <v>0</v>
      </c>
      <c r="Q58" s="84"/>
      <c r="R58" s="98">
        <v>0</v>
      </c>
      <c r="S58" s="156"/>
      <c r="T58" s="74"/>
    </row>
    <row r="59" spans="1:20">
      <c r="A59" s="152"/>
      <c r="B59" s="428"/>
      <c r="C59" s="429"/>
      <c r="D59" s="108"/>
      <c r="E59" s="159"/>
      <c r="F59" s="160"/>
      <c r="G59" s="84"/>
      <c r="H59" s="98">
        <v>0</v>
      </c>
      <c r="I59" s="156"/>
      <c r="J59" s="74"/>
      <c r="K59" s="152"/>
      <c r="L59" s="430">
        <f t="shared" si="4"/>
        <v>0</v>
      </c>
      <c r="M59" s="431"/>
      <c r="N59" s="108"/>
      <c r="O59" s="161">
        <f t="shared" si="5"/>
        <v>0</v>
      </c>
      <c r="P59" s="162">
        <f t="shared" si="5"/>
        <v>0</v>
      </c>
      <c r="Q59" s="84"/>
      <c r="R59" s="98">
        <v>0</v>
      </c>
      <c r="S59" s="156"/>
      <c r="T59" s="74"/>
    </row>
    <row r="60" spans="1:20">
      <c r="A60" s="152"/>
      <c r="B60" s="428"/>
      <c r="C60" s="429"/>
      <c r="D60" s="108"/>
      <c r="E60" s="159"/>
      <c r="F60" s="160"/>
      <c r="G60" s="84"/>
      <c r="H60" s="98">
        <v>0</v>
      </c>
      <c r="I60" s="156"/>
      <c r="J60" s="74"/>
      <c r="K60" s="152"/>
      <c r="L60" s="430">
        <f t="shared" si="4"/>
        <v>0</v>
      </c>
      <c r="M60" s="431"/>
      <c r="N60" s="108"/>
      <c r="O60" s="161">
        <f t="shared" si="5"/>
        <v>0</v>
      </c>
      <c r="P60" s="162">
        <f t="shared" si="5"/>
        <v>0</v>
      </c>
      <c r="Q60" s="84"/>
      <c r="R60" s="98">
        <v>0</v>
      </c>
      <c r="S60" s="156"/>
      <c r="T60" s="74"/>
    </row>
    <row r="61" spans="1:20">
      <c r="A61" s="152"/>
      <c r="B61" s="428"/>
      <c r="C61" s="429"/>
      <c r="D61" s="108"/>
      <c r="E61" s="159"/>
      <c r="F61" s="160"/>
      <c r="G61" s="84"/>
      <c r="H61" s="98">
        <v>0</v>
      </c>
      <c r="I61" s="156"/>
      <c r="J61" s="74"/>
      <c r="K61" s="152"/>
      <c r="L61" s="430">
        <f t="shared" si="4"/>
        <v>0</v>
      </c>
      <c r="M61" s="431"/>
      <c r="N61" s="108"/>
      <c r="O61" s="161">
        <f t="shared" si="5"/>
        <v>0</v>
      </c>
      <c r="P61" s="162">
        <f t="shared" si="5"/>
        <v>0</v>
      </c>
      <c r="Q61" s="84"/>
      <c r="R61" s="98">
        <v>0</v>
      </c>
      <c r="S61" s="156"/>
      <c r="T61" s="74"/>
    </row>
    <row r="62" spans="1:20">
      <c r="A62" s="152"/>
      <c r="B62" s="434"/>
      <c r="C62" s="429"/>
      <c r="D62" s="108"/>
      <c r="E62" s="159"/>
      <c r="F62" s="160"/>
      <c r="G62" s="84"/>
      <c r="H62" s="98">
        <v>0</v>
      </c>
      <c r="I62" s="156"/>
      <c r="J62" s="74"/>
      <c r="K62" s="152"/>
      <c r="L62" s="430">
        <f t="shared" si="4"/>
        <v>0</v>
      </c>
      <c r="M62" s="431"/>
      <c r="N62" s="108"/>
      <c r="O62" s="161">
        <f t="shared" si="5"/>
        <v>0</v>
      </c>
      <c r="P62" s="162">
        <f t="shared" si="5"/>
        <v>0</v>
      </c>
      <c r="Q62" s="84"/>
      <c r="R62" s="98">
        <v>0</v>
      </c>
      <c r="S62" s="156"/>
      <c r="T62" s="74"/>
    </row>
    <row r="63" spans="1:20">
      <c r="A63" s="152"/>
      <c r="B63" s="434"/>
      <c r="C63" s="429"/>
      <c r="D63" s="108"/>
      <c r="E63" s="159"/>
      <c r="F63" s="160"/>
      <c r="G63" s="84"/>
      <c r="H63" s="98">
        <v>0</v>
      </c>
      <c r="I63" s="156"/>
      <c r="J63" s="74"/>
      <c r="K63" s="152"/>
      <c r="L63" s="430">
        <f t="shared" si="4"/>
        <v>0</v>
      </c>
      <c r="M63" s="431"/>
      <c r="N63" s="108"/>
      <c r="O63" s="161">
        <f t="shared" si="5"/>
        <v>0</v>
      </c>
      <c r="P63" s="162">
        <f t="shared" si="5"/>
        <v>0</v>
      </c>
      <c r="Q63" s="84"/>
      <c r="R63" s="98">
        <v>0</v>
      </c>
      <c r="S63" s="156"/>
      <c r="T63" s="74"/>
    </row>
    <row r="64" spans="1:20">
      <c r="A64" s="152"/>
      <c r="B64" s="428"/>
      <c r="C64" s="429"/>
      <c r="D64" s="108"/>
      <c r="E64" s="159"/>
      <c r="F64" s="160"/>
      <c r="G64" s="84"/>
      <c r="H64" s="98">
        <v>0</v>
      </c>
      <c r="I64" s="156"/>
      <c r="J64" s="74"/>
      <c r="K64" s="152"/>
      <c r="L64" s="430">
        <f t="shared" si="4"/>
        <v>0</v>
      </c>
      <c r="M64" s="431"/>
      <c r="N64" s="108"/>
      <c r="O64" s="161">
        <f t="shared" si="5"/>
        <v>0</v>
      </c>
      <c r="P64" s="162">
        <f t="shared" si="5"/>
        <v>0</v>
      </c>
      <c r="Q64" s="84"/>
      <c r="R64" s="98">
        <v>0</v>
      </c>
      <c r="S64" s="156"/>
      <c r="T64" s="74"/>
    </row>
    <row r="65" spans="1:20">
      <c r="A65" s="152"/>
      <c r="B65" s="428"/>
      <c r="C65" s="429"/>
      <c r="D65" s="108"/>
      <c r="E65" s="159"/>
      <c r="F65" s="160"/>
      <c r="G65" s="84"/>
      <c r="H65" s="98">
        <v>0</v>
      </c>
      <c r="I65" s="156"/>
      <c r="J65" s="74"/>
      <c r="K65" s="152"/>
      <c r="L65" s="430">
        <f t="shared" si="4"/>
        <v>0</v>
      </c>
      <c r="M65" s="431"/>
      <c r="N65" s="108"/>
      <c r="O65" s="161">
        <f t="shared" si="5"/>
        <v>0</v>
      </c>
      <c r="P65" s="162">
        <f t="shared" si="5"/>
        <v>0</v>
      </c>
      <c r="Q65" s="84"/>
      <c r="R65" s="98">
        <v>0</v>
      </c>
      <c r="S65" s="156"/>
      <c r="T65" s="74"/>
    </row>
    <row r="66" spans="1:20">
      <c r="A66" s="152"/>
      <c r="B66" s="428"/>
      <c r="C66" s="429"/>
      <c r="D66" s="108"/>
      <c r="E66" s="159"/>
      <c r="F66" s="160"/>
      <c r="G66" s="84"/>
      <c r="H66" s="98">
        <v>0</v>
      </c>
      <c r="I66" s="156"/>
      <c r="J66" s="74"/>
      <c r="K66" s="152"/>
      <c r="L66" s="430">
        <f t="shared" si="4"/>
        <v>0</v>
      </c>
      <c r="M66" s="431"/>
      <c r="N66" s="108"/>
      <c r="O66" s="161">
        <f t="shared" si="5"/>
        <v>0</v>
      </c>
      <c r="P66" s="162">
        <f t="shared" si="5"/>
        <v>0</v>
      </c>
      <c r="Q66" s="84"/>
      <c r="R66" s="98">
        <v>0</v>
      </c>
      <c r="S66" s="156"/>
      <c r="T66" s="74"/>
    </row>
    <row r="67" spans="1:20">
      <c r="A67" s="152"/>
      <c r="B67" s="428"/>
      <c r="C67" s="429"/>
      <c r="D67" s="108"/>
      <c r="E67" s="159"/>
      <c r="F67" s="160"/>
      <c r="G67" s="84"/>
      <c r="H67" s="98">
        <v>0</v>
      </c>
      <c r="I67" s="156"/>
      <c r="J67" s="74"/>
      <c r="K67" s="152"/>
      <c r="L67" s="430">
        <f t="shared" si="4"/>
        <v>0</v>
      </c>
      <c r="M67" s="431"/>
      <c r="N67" s="108"/>
      <c r="O67" s="161">
        <f t="shared" si="5"/>
        <v>0</v>
      </c>
      <c r="P67" s="162">
        <f t="shared" si="5"/>
        <v>0</v>
      </c>
      <c r="Q67" s="84"/>
      <c r="R67" s="98">
        <v>0</v>
      </c>
      <c r="S67" s="156"/>
      <c r="T67" s="74"/>
    </row>
    <row r="68" spans="1:20">
      <c r="A68" s="152"/>
      <c r="B68" s="428"/>
      <c r="C68" s="429"/>
      <c r="D68" s="108"/>
      <c r="E68" s="159"/>
      <c r="F68" s="160"/>
      <c r="G68" s="84"/>
      <c r="H68" s="98">
        <v>0</v>
      </c>
      <c r="I68" s="156"/>
      <c r="J68" s="74"/>
      <c r="K68" s="152"/>
      <c r="L68" s="430">
        <f t="shared" si="4"/>
        <v>0</v>
      </c>
      <c r="M68" s="431"/>
      <c r="N68" s="108"/>
      <c r="O68" s="161">
        <f t="shared" si="5"/>
        <v>0</v>
      </c>
      <c r="P68" s="162">
        <f t="shared" si="5"/>
        <v>0</v>
      </c>
      <c r="Q68" s="84"/>
      <c r="R68" s="98">
        <v>0</v>
      </c>
      <c r="S68" s="156"/>
      <c r="T68" s="74"/>
    </row>
    <row r="69" spans="1:20">
      <c r="A69" s="152"/>
      <c r="B69" s="428"/>
      <c r="C69" s="429"/>
      <c r="D69" s="108"/>
      <c r="E69" s="159"/>
      <c r="F69" s="160"/>
      <c r="G69" s="84"/>
      <c r="H69" s="98">
        <v>0</v>
      </c>
      <c r="I69" s="156"/>
      <c r="J69" s="74"/>
      <c r="K69" s="152"/>
      <c r="L69" s="430">
        <f t="shared" si="4"/>
        <v>0</v>
      </c>
      <c r="M69" s="431"/>
      <c r="N69" s="108"/>
      <c r="O69" s="161">
        <f t="shared" si="5"/>
        <v>0</v>
      </c>
      <c r="P69" s="162">
        <f t="shared" si="5"/>
        <v>0</v>
      </c>
      <c r="Q69" s="84"/>
      <c r="R69" s="98">
        <v>0</v>
      </c>
      <c r="S69" s="156"/>
      <c r="T69" s="74"/>
    </row>
    <row r="70" spans="1:20">
      <c r="A70" s="152"/>
      <c r="B70" s="428"/>
      <c r="C70" s="429"/>
      <c r="D70" s="108"/>
      <c r="E70" s="159"/>
      <c r="F70" s="160"/>
      <c r="G70" s="84"/>
      <c r="H70" s="98">
        <v>0</v>
      </c>
      <c r="I70" s="156"/>
      <c r="J70" s="74"/>
      <c r="K70" s="152"/>
      <c r="L70" s="430">
        <f t="shared" si="4"/>
        <v>0</v>
      </c>
      <c r="M70" s="431"/>
      <c r="N70" s="108"/>
      <c r="O70" s="161">
        <f t="shared" si="5"/>
        <v>0</v>
      </c>
      <c r="P70" s="162">
        <f t="shared" si="5"/>
        <v>0</v>
      </c>
      <c r="Q70" s="84"/>
      <c r="R70" s="98">
        <v>0</v>
      </c>
      <c r="S70" s="156"/>
      <c r="T70" s="74"/>
    </row>
    <row r="71" spans="1:20">
      <c r="A71" s="152"/>
      <c r="B71" s="428"/>
      <c r="C71" s="429"/>
      <c r="D71" s="108"/>
      <c r="E71" s="159"/>
      <c r="F71" s="160"/>
      <c r="G71" s="84"/>
      <c r="H71" s="98">
        <v>0</v>
      </c>
      <c r="I71" s="156"/>
      <c r="J71" s="74"/>
      <c r="K71" s="152"/>
      <c r="L71" s="430">
        <f>B71</f>
        <v>0</v>
      </c>
      <c r="M71" s="431"/>
      <c r="N71" s="108"/>
      <c r="O71" s="161">
        <f t="shared" si="5"/>
        <v>0</v>
      </c>
      <c r="P71" s="162">
        <f t="shared" si="5"/>
        <v>0</v>
      </c>
      <c r="Q71" s="84"/>
      <c r="R71" s="98">
        <v>0</v>
      </c>
      <c r="S71" s="156"/>
      <c r="T71" s="74"/>
    </row>
    <row r="72" spans="1:20">
      <c r="A72" s="152"/>
      <c r="B72" s="428"/>
      <c r="C72" s="429"/>
      <c r="D72" s="108"/>
      <c r="E72" s="159"/>
      <c r="F72" s="160"/>
      <c r="G72" s="84"/>
      <c r="H72" s="98">
        <v>0</v>
      </c>
      <c r="I72" s="156"/>
      <c r="J72" s="74"/>
      <c r="K72" s="152"/>
      <c r="L72" s="430">
        <f t="shared" si="4"/>
        <v>0</v>
      </c>
      <c r="M72" s="431"/>
      <c r="N72" s="108"/>
      <c r="O72" s="161">
        <f t="shared" si="5"/>
        <v>0</v>
      </c>
      <c r="P72" s="162">
        <f t="shared" si="5"/>
        <v>0</v>
      </c>
      <c r="Q72" s="84"/>
      <c r="R72" s="98">
        <v>0</v>
      </c>
      <c r="S72" s="156"/>
      <c r="T72" s="74"/>
    </row>
    <row r="73" spans="1:20">
      <c r="A73" s="152"/>
      <c r="B73" s="428"/>
      <c r="C73" s="429"/>
      <c r="D73" s="108"/>
      <c r="E73" s="159"/>
      <c r="F73" s="160"/>
      <c r="G73" s="84"/>
      <c r="H73" s="98">
        <v>0</v>
      </c>
      <c r="I73" s="156"/>
      <c r="J73" s="74"/>
      <c r="K73" s="152"/>
      <c r="L73" s="430">
        <f t="shared" si="4"/>
        <v>0</v>
      </c>
      <c r="M73" s="431"/>
      <c r="N73" s="108"/>
      <c r="O73" s="161">
        <f t="shared" si="5"/>
        <v>0</v>
      </c>
      <c r="P73" s="162">
        <f t="shared" si="5"/>
        <v>0</v>
      </c>
      <c r="Q73" s="84"/>
      <c r="R73" s="98">
        <v>0</v>
      </c>
      <c r="S73" s="156"/>
      <c r="T73" s="74"/>
    </row>
    <row r="74" spans="1:20">
      <c r="A74" s="152"/>
      <c r="B74" s="428"/>
      <c r="C74" s="429"/>
      <c r="D74" s="108"/>
      <c r="E74" s="159"/>
      <c r="F74" s="160"/>
      <c r="G74" s="84"/>
      <c r="H74" s="98">
        <v>0</v>
      </c>
      <c r="I74" s="156"/>
      <c r="J74" s="74"/>
      <c r="K74" s="152"/>
      <c r="L74" s="430">
        <f t="shared" si="4"/>
        <v>0</v>
      </c>
      <c r="M74" s="431"/>
      <c r="N74" s="108"/>
      <c r="O74" s="161">
        <f t="shared" si="5"/>
        <v>0</v>
      </c>
      <c r="P74" s="162">
        <f t="shared" si="5"/>
        <v>0</v>
      </c>
      <c r="Q74" s="84"/>
      <c r="R74" s="98">
        <v>0</v>
      </c>
      <c r="S74" s="156"/>
      <c r="T74" s="74"/>
    </row>
    <row r="75" spans="1:20">
      <c r="A75" s="152"/>
      <c r="B75" s="428"/>
      <c r="C75" s="429"/>
      <c r="D75" s="108"/>
      <c r="E75" s="159"/>
      <c r="F75" s="160"/>
      <c r="G75" s="84"/>
      <c r="H75" s="98">
        <v>0</v>
      </c>
      <c r="I75" s="156"/>
      <c r="J75" s="74"/>
      <c r="K75" s="152"/>
      <c r="L75" s="430">
        <f t="shared" si="4"/>
        <v>0</v>
      </c>
      <c r="M75" s="431"/>
      <c r="N75" s="108"/>
      <c r="O75" s="161">
        <f t="shared" si="5"/>
        <v>0</v>
      </c>
      <c r="P75" s="162">
        <f t="shared" si="5"/>
        <v>0</v>
      </c>
      <c r="Q75" s="84"/>
      <c r="R75" s="98">
        <v>0</v>
      </c>
      <c r="S75" s="156"/>
      <c r="T75" s="74"/>
    </row>
    <row r="76" spans="1:20">
      <c r="A76" s="152"/>
      <c r="B76" s="428"/>
      <c r="C76" s="429"/>
      <c r="D76" s="108"/>
      <c r="E76" s="159"/>
      <c r="F76" s="160"/>
      <c r="G76" s="84"/>
      <c r="H76" s="98">
        <v>0</v>
      </c>
      <c r="I76" s="163"/>
      <c r="J76" s="74"/>
      <c r="K76" s="152"/>
      <c r="L76" s="430">
        <f t="shared" si="4"/>
        <v>0</v>
      </c>
      <c r="M76" s="431"/>
      <c r="N76" s="108"/>
      <c r="O76" s="161">
        <f t="shared" si="5"/>
        <v>0</v>
      </c>
      <c r="P76" s="162">
        <f t="shared" si="5"/>
        <v>0</v>
      </c>
      <c r="Q76" s="84"/>
      <c r="R76" s="98">
        <v>0</v>
      </c>
      <c r="S76" s="163"/>
      <c r="T76" s="74"/>
    </row>
    <row r="77" spans="1:20" s="166" customFormat="1">
      <c r="A77" s="74"/>
      <c r="B77" s="74"/>
      <c r="C77" s="74"/>
      <c r="D77" s="108"/>
      <c r="E77" s="108"/>
      <c r="F77" s="108"/>
      <c r="G77" s="108"/>
      <c r="H77" s="164"/>
      <c r="I77" s="165"/>
      <c r="J77" s="74"/>
      <c r="K77" s="74"/>
      <c r="L77" s="74"/>
      <c r="M77" s="74"/>
      <c r="N77" s="108"/>
      <c r="O77" s="108"/>
      <c r="P77" s="108"/>
      <c r="Q77" s="108"/>
      <c r="R77" s="164"/>
      <c r="S77" s="165"/>
      <c r="T77" s="74"/>
    </row>
    <row r="78" spans="1:20">
      <c r="A78" s="150" t="str">
        <f>"2."</f>
        <v>2.</v>
      </c>
      <c r="B78" s="151" t="s">
        <v>817</v>
      </c>
      <c r="C78" s="108"/>
      <c r="D78" s="108"/>
      <c r="E78" s="108"/>
      <c r="F78" s="108"/>
      <c r="G78" s="108"/>
      <c r="H78" s="108"/>
      <c r="I78" s="74"/>
      <c r="J78" s="74"/>
      <c r="K78" s="150" t="str">
        <f>"2."</f>
        <v>2.</v>
      </c>
      <c r="L78" s="151" t="s">
        <v>817</v>
      </c>
      <c r="M78" s="108"/>
      <c r="N78" s="108"/>
      <c r="O78" s="108"/>
      <c r="P78" s="108"/>
      <c r="Q78" s="108"/>
      <c r="R78" s="108"/>
      <c r="S78" s="74"/>
      <c r="T78" s="74"/>
    </row>
    <row r="79" spans="1:20">
      <c r="A79" s="152"/>
      <c r="B79" s="114" t="s">
        <v>814</v>
      </c>
      <c r="C79" s="74"/>
      <c r="D79" s="153"/>
      <c r="E79" s="86" t="s">
        <v>815</v>
      </c>
      <c r="F79" s="86" t="s">
        <v>816</v>
      </c>
      <c r="G79" s="108"/>
      <c r="H79" s="86" t="s">
        <v>801</v>
      </c>
      <c r="I79" s="74"/>
      <c r="J79" s="74"/>
      <c r="K79" s="152"/>
      <c r="L79" s="167" t="s">
        <v>814</v>
      </c>
      <c r="M79" s="74"/>
      <c r="N79" s="153"/>
      <c r="O79" s="86" t="s">
        <v>815</v>
      </c>
      <c r="P79" s="86" t="s">
        <v>816</v>
      </c>
      <c r="Q79" s="108"/>
      <c r="R79" s="86" t="s">
        <v>801</v>
      </c>
      <c r="S79" s="74"/>
      <c r="T79" s="74"/>
    </row>
    <row r="80" spans="1:20">
      <c r="A80" s="152"/>
      <c r="B80" s="428"/>
      <c r="C80" s="429"/>
      <c r="D80" s="108"/>
      <c r="E80" s="154"/>
      <c r="F80" s="155"/>
      <c r="G80" s="84"/>
      <c r="H80" s="93">
        <v>0</v>
      </c>
      <c r="I80" s="156"/>
      <c r="J80" s="74"/>
      <c r="K80" s="152"/>
      <c r="L80" s="432">
        <f>B80</f>
        <v>0</v>
      </c>
      <c r="M80" s="433"/>
      <c r="N80" s="108"/>
      <c r="O80" s="157">
        <f t="shared" ref="O80:P89" si="6">E80</f>
        <v>0</v>
      </c>
      <c r="P80" s="158">
        <f t="shared" si="6"/>
        <v>0</v>
      </c>
      <c r="Q80" s="84"/>
      <c r="R80" s="93">
        <v>0</v>
      </c>
      <c r="S80" s="156"/>
      <c r="T80" s="74"/>
    </row>
    <row r="81" spans="1:20">
      <c r="A81" s="152"/>
      <c r="B81" s="428"/>
      <c r="C81" s="429"/>
      <c r="D81" s="108"/>
      <c r="E81" s="159"/>
      <c r="F81" s="160"/>
      <c r="G81" s="84"/>
      <c r="H81" s="98">
        <v>0</v>
      </c>
      <c r="I81" s="156"/>
      <c r="J81" s="74"/>
      <c r="K81" s="152"/>
      <c r="L81" s="430">
        <f t="shared" ref="L81:L89" si="7">B81</f>
        <v>0</v>
      </c>
      <c r="M81" s="431"/>
      <c r="N81" s="108"/>
      <c r="O81" s="161">
        <f t="shared" si="6"/>
        <v>0</v>
      </c>
      <c r="P81" s="162">
        <f t="shared" si="6"/>
        <v>0</v>
      </c>
      <c r="Q81" s="84"/>
      <c r="R81" s="98">
        <v>0</v>
      </c>
      <c r="S81" s="156"/>
      <c r="T81" s="74"/>
    </row>
    <row r="82" spans="1:20">
      <c r="A82" s="152"/>
      <c r="B82" s="428"/>
      <c r="C82" s="429"/>
      <c r="D82" s="108"/>
      <c r="E82" s="159"/>
      <c r="F82" s="160"/>
      <c r="G82" s="84"/>
      <c r="H82" s="98">
        <v>0</v>
      </c>
      <c r="I82" s="156"/>
      <c r="J82" s="74"/>
      <c r="K82" s="152"/>
      <c r="L82" s="430">
        <f t="shared" si="7"/>
        <v>0</v>
      </c>
      <c r="M82" s="431"/>
      <c r="N82" s="108"/>
      <c r="O82" s="161">
        <f t="shared" si="6"/>
        <v>0</v>
      </c>
      <c r="P82" s="162">
        <f t="shared" si="6"/>
        <v>0</v>
      </c>
      <c r="Q82" s="84"/>
      <c r="R82" s="98">
        <v>0</v>
      </c>
      <c r="S82" s="156"/>
      <c r="T82" s="74"/>
    </row>
    <row r="83" spans="1:20">
      <c r="A83" s="152"/>
      <c r="B83" s="428"/>
      <c r="C83" s="429"/>
      <c r="D83" s="108"/>
      <c r="E83" s="159"/>
      <c r="F83" s="160"/>
      <c r="G83" s="84"/>
      <c r="H83" s="98">
        <v>0</v>
      </c>
      <c r="I83" s="156"/>
      <c r="J83" s="74"/>
      <c r="K83" s="152"/>
      <c r="L83" s="430">
        <f t="shared" si="7"/>
        <v>0</v>
      </c>
      <c r="M83" s="431"/>
      <c r="N83" s="108"/>
      <c r="O83" s="161">
        <f t="shared" si="6"/>
        <v>0</v>
      </c>
      <c r="P83" s="162">
        <f t="shared" si="6"/>
        <v>0</v>
      </c>
      <c r="Q83" s="84"/>
      <c r="R83" s="98">
        <v>0</v>
      </c>
      <c r="S83" s="156"/>
      <c r="T83" s="74"/>
    </row>
    <row r="84" spans="1:20">
      <c r="A84" s="152"/>
      <c r="B84" s="428"/>
      <c r="C84" s="429"/>
      <c r="D84" s="108"/>
      <c r="E84" s="159"/>
      <c r="F84" s="160"/>
      <c r="G84" s="84"/>
      <c r="H84" s="98">
        <v>0</v>
      </c>
      <c r="I84" s="156"/>
      <c r="J84" s="74"/>
      <c r="K84" s="152"/>
      <c r="L84" s="430">
        <f t="shared" si="7"/>
        <v>0</v>
      </c>
      <c r="M84" s="431"/>
      <c r="N84" s="108"/>
      <c r="O84" s="161">
        <f t="shared" si="6"/>
        <v>0</v>
      </c>
      <c r="P84" s="162">
        <f t="shared" si="6"/>
        <v>0</v>
      </c>
      <c r="Q84" s="84"/>
      <c r="R84" s="98">
        <v>0</v>
      </c>
      <c r="S84" s="156"/>
      <c r="T84" s="74"/>
    </row>
    <row r="85" spans="1:20">
      <c r="A85" s="152"/>
      <c r="B85" s="428"/>
      <c r="C85" s="429"/>
      <c r="D85" s="108"/>
      <c r="E85" s="159"/>
      <c r="F85" s="160"/>
      <c r="G85" s="84"/>
      <c r="H85" s="98">
        <v>0</v>
      </c>
      <c r="I85" s="156"/>
      <c r="J85" s="74"/>
      <c r="K85" s="152"/>
      <c r="L85" s="430">
        <f t="shared" si="7"/>
        <v>0</v>
      </c>
      <c r="M85" s="431"/>
      <c r="N85" s="108"/>
      <c r="O85" s="161">
        <f t="shared" si="6"/>
        <v>0</v>
      </c>
      <c r="P85" s="162">
        <f t="shared" si="6"/>
        <v>0</v>
      </c>
      <c r="Q85" s="84"/>
      <c r="R85" s="98">
        <v>0</v>
      </c>
      <c r="S85" s="156"/>
      <c r="T85" s="74"/>
    </row>
    <row r="86" spans="1:20">
      <c r="A86" s="152"/>
      <c r="B86" s="428"/>
      <c r="C86" s="429"/>
      <c r="D86" s="108"/>
      <c r="E86" s="159"/>
      <c r="F86" s="160"/>
      <c r="G86" s="84"/>
      <c r="H86" s="98">
        <v>0</v>
      </c>
      <c r="I86" s="156"/>
      <c r="J86" s="74"/>
      <c r="K86" s="152"/>
      <c r="L86" s="430">
        <f t="shared" si="7"/>
        <v>0</v>
      </c>
      <c r="M86" s="431"/>
      <c r="N86" s="108"/>
      <c r="O86" s="161">
        <f t="shared" si="6"/>
        <v>0</v>
      </c>
      <c r="P86" s="162">
        <f t="shared" si="6"/>
        <v>0</v>
      </c>
      <c r="Q86" s="84"/>
      <c r="R86" s="98">
        <v>0</v>
      </c>
      <c r="S86" s="156"/>
      <c r="T86" s="74"/>
    </row>
    <row r="87" spans="1:20">
      <c r="A87" s="152"/>
      <c r="B87" s="428"/>
      <c r="C87" s="429"/>
      <c r="D87" s="108"/>
      <c r="E87" s="159"/>
      <c r="F87" s="160"/>
      <c r="G87" s="84"/>
      <c r="H87" s="98">
        <v>0</v>
      </c>
      <c r="I87" s="156"/>
      <c r="J87" s="74"/>
      <c r="K87" s="152"/>
      <c r="L87" s="430">
        <f t="shared" si="7"/>
        <v>0</v>
      </c>
      <c r="M87" s="431"/>
      <c r="N87" s="108"/>
      <c r="O87" s="161">
        <f t="shared" si="6"/>
        <v>0</v>
      </c>
      <c r="P87" s="162">
        <f t="shared" si="6"/>
        <v>0</v>
      </c>
      <c r="Q87" s="84"/>
      <c r="R87" s="98">
        <v>0</v>
      </c>
      <c r="S87" s="156"/>
      <c r="T87" s="74"/>
    </row>
    <row r="88" spans="1:20">
      <c r="A88" s="152"/>
      <c r="B88" s="428"/>
      <c r="C88" s="429"/>
      <c r="D88" s="108"/>
      <c r="E88" s="159"/>
      <c r="F88" s="160"/>
      <c r="G88" s="84"/>
      <c r="H88" s="98">
        <v>0</v>
      </c>
      <c r="I88" s="156"/>
      <c r="J88" s="74"/>
      <c r="K88" s="152"/>
      <c r="L88" s="430">
        <f t="shared" si="7"/>
        <v>0</v>
      </c>
      <c r="M88" s="431"/>
      <c r="N88" s="108"/>
      <c r="O88" s="161">
        <f t="shared" si="6"/>
        <v>0</v>
      </c>
      <c r="P88" s="162">
        <f t="shared" si="6"/>
        <v>0</v>
      </c>
      <c r="Q88" s="84"/>
      <c r="R88" s="98">
        <v>0</v>
      </c>
      <c r="S88" s="156"/>
      <c r="T88" s="74"/>
    </row>
    <row r="89" spans="1:20">
      <c r="A89" s="152"/>
      <c r="B89" s="428"/>
      <c r="C89" s="429"/>
      <c r="D89" s="108"/>
      <c r="E89" s="159"/>
      <c r="F89" s="160"/>
      <c r="G89" s="84"/>
      <c r="H89" s="98">
        <v>0</v>
      </c>
      <c r="I89" s="156"/>
      <c r="J89" s="74"/>
      <c r="K89" s="152"/>
      <c r="L89" s="430">
        <f t="shared" si="7"/>
        <v>0</v>
      </c>
      <c r="M89" s="431"/>
      <c r="N89" s="108"/>
      <c r="O89" s="161">
        <f t="shared" si="6"/>
        <v>0</v>
      </c>
      <c r="P89" s="162">
        <f t="shared" si="6"/>
        <v>0</v>
      </c>
      <c r="Q89" s="84"/>
      <c r="R89" s="98">
        <v>0</v>
      </c>
      <c r="S89" s="156"/>
      <c r="T89" s="74"/>
    </row>
    <row r="90" spans="1:20">
      <c r="A90" s="168"/>
      <c r="B90" s="169"/>
      <c r="C90" s="169"/>
      <c r="D90" s="169"/>
      <c r="E90" s="170"/>
      <c r="F90" s="170"/>
      <c r="G90" s="169"/>
      <c r="H90" s="171"/>
      <c r="I90" s="170"/>
      <c r="J90" s="171"/>
      <c r="K90" s="170"/>
      <c r="L90" s="170"/>
      <c r="M90" s="170"/>
      <c r="N90" s="170"/>
      <c r="O90" s="170"/>
      <c r="P90" s="170"/>
      <c r="Q90" s="170"/>
      <c r="R90" s="170"/>
      <c r="S90" s="172"/>
      <c r="T90" s="170"/>
    </row>
  </sheetData>
  <sheetProtection algorithmName="SHA-512" hashValue="/jdW5ioJ5sK6VeRemQ7NDXdFwYitEWi+Sg8R5iBWDIy2HgePX0oQqhoS3gFEvCuma8pKX7arJ9ti2MfLMMZ2vg==" saltValue="1EVZ6mcvONT2/Y1o5oC2bA==" spinCount="100000" sheet="1" formatCells="0" formatColumns="0" formatRows="0" insertColumns="0" insertRows="0" insertHyperlinks="0" sort="0" autoFilter="0" pivotTables="0"/>
  <mergeCells count="66">
    <mergeCell ref="A1:J1"/>
    <mergeCell ref="K1:T1"/>
    <mergeCell ref="A2:J2"/>
    <mergeCell ref="K2:T2"/>
    <mergeCell ref="A5:C5"/>
    <mergeCell ref="K5:M5"/>
    <mergeCell ref="B57:C57"/>
    <mergeCell ref="L57:M57"/>
    <mergeCell ref="B58:C58"/>
    <mergeCell ref="L58:M58"/>
    <mergeCell ref="B59:C59"/>
    <mergeCell ref="L59:M59"/>
    <mergeCell ref="B60:C60"/>
    <mergeCell ref="L60:M60"/>
    <mergeCell ref="B61:C61"/>
    <mergeCell ref="L61:M61"/>
    <mergeCell ref="B62:C62"/>
    <mergeCell ref="L62:M62"/>
    <mergeCell ref="B63:C63"/>
    <mergeCell ref="L63:M63"/>
    <mergeCell ref="B64:C64"/>
    <mergeCell ref="L64:M64"/>
    <mergeCell ref="B65:C65"/>
    <mergeCell ref="L65:M65"/>
    <mergeCell ref="B66:C66"/>
    <mergeCell ref="L66:M66"/>
    <mergeCell ref="B67:C67"/>
    <mergeCell ref="L67:M67"/>
    <mergeCell ref="B68:C68"/>
    <mergeCell ref="L68:M68"/>
    <mergeCell ref="B69:C69"/>
    <mergeCell ref="L69:M69"/>
    <mergeCell ref="B70:C70"/>
    <mergeCell ref="L70:M70"/>
    <mergeCell ref="B71:C71"/>
    <mergeCell ref="L71:M71"/>
    <mergeCell ref="B72:C72"/>
    <mergeCell ref="L72:M72"/>
    <mergeCell ref="B73:C73"/>
    <mergeCell ref="L73:M73"/>
    <mergeCell ref="B74:C74"/>
    <mergeCell ref="L74:M74"/>
    <mergeCell ref="B75:C75"/>
    <mergeCell ref="L75:M75"/>
    <mergeCell ref="B76:C76"/>
    <mergeCell ref="L76:M76"/>
    <mergeCell ref="B80:C80"/>
    <mergeCell ref="L80:M80"/>
    <mergeCell ref="B81:C81"/>
    <mergeCell ref="L81:M81"/>
    <mergeCell ref="B82:C82"/>
    <mergeCell ref="L82:M82"/>
    <mergeCell ref="B83:C83"/>
    <mergeCell ref="L83:M83"/>
    <mergeCell ref="B84:C84"/>
    <mergeCell ref="L84:M84"/>
    <mergeCell ref="B85:C85"/>
    <mergeCell ref="L85:M85"/>
    <mergeCell ref="B86:C86"/>
    <mergeCell ref="L86:M86"/>
    <mergeCell ref="B87:C87"/>
    <mergeCell ref="L87:M87"/>
    <mergeCell ref="B88:C88"/>
    <mergeCell ref="L88:M88"/>
    <mergeCell ref="B89:C89"/>
    <mergeCell ref="L89:M89"/>
  </mergeCells>
  <printOptions horizontalCentered="1"/>
  <pageMargins left="0.2" right="0.2" top="0.5" bottom="0.75" header="0" footer="0.3"/>
  <pageSetup scale="84" orientation="portrait" r:id="rId1"/>
  <rowBreaks count="1" manualBreakCount="1">
    <brk id="54" max="16383" man="1"/>
  </rowBreaks>
  <colBreaks count="1" manualBreakCount="1">
    <brk id="10"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OFFSET(PED_ONLY!$I$2,,,COUNTIF(PED_ONLY!$I$1:$I$257,"?*")-1)</xm:f>
          </x14:formula1>
          <xm:sqref>A5:C5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topLeftCell="A76" zoomScaleNormal="100" workbookViewId="0">
      <selection activeCell="D46" sqref="D46"/>
    </sheetView>
  </sheetViews>
  <sheetFormatPr defaultColWidth="9.109375" defaultRowHeight="14.4"/>
  <cols>
    <col min="1" max="10" width="10.6640625" style="72" customWidth="1"/>
    <col min="11" max="16384" width="9.109375" style="72"/>
  </cols>
  <sheetData>
    <row r="1" spans="1:10">
      <c r="A1" s="437" t="s">
        <v>818</v>
      </c>
      <c r="B1" s="437"/>
      <c r="C1" s="437"/>
      <c r="D1" s="437"/>
      <c r="E1" s="437"/>
      <c r="F1" s="437"/>
      <c r="G1" s="437"/>
      <c r="H1" s="437"/>
      <c r="I1" s="437"/>
      <c r="J1" s="437"/>
    </row>
    <row r="2" spans="1:10">
      <c r="A2" s="438" t="s">
        <v>819</v>
      </c>
      <c r="B2" s="438"/>
      <c r="C2" s="438"/>
      <c r="D2" s="438"/>
      <c r="E2" s="438"/>
      <c r="F2" s="438"/>
      <c r="G2" s="438"/>
      <c r="H2" s="438"/>
      <c r="I2" s="438"/>
      <c r="J2" s="438"/>
    </row>
    <row r="3" spans="1:10">
      <c r="A3" s="73"/>
      <c r="B3" s="73"/>
      <c r="C3" s="73"/>
      <c r="D3" s="73"/>
      <c r="E3" s="73"/>
      <c r="F3" s="73"/>
      <c r="G3" s="73"/>
      <c r="H3" s="73"/>
      <c r="I3" s="73"/>
      <c r="J3" s="73"/>
    </row>
    <row r="4" spans="1:10">
      <c r="A4" s="75" t="s">
        <v>761</v>
      </c>
      <c r="B4" s="76"/>
      <c r="C4" s="76"/>
      <c r="D4" s="76"/>
      <c r="E4" s="76"/>
      <c r="F4" s="76"/>
      <c r="G4" s="75" t="s">
        <v>762</v>
      </c>
      <c r="H4" s="76"/>
      <c r="I4" s="76"/>
      <c r="J4" s="76"/>
    </row>
    <row r="5" spans="1:10">
      <c r="A5" s="442">
        <f>'80-120'!A5</f>
        <v>0</v>
      </c>
      <c r="B5" s="443"/>
      <c r="C5" s="444"/>
      <c r="D5" s="74"/>
      <c r="E5" s="74"/>
      <c r="F5" s="73"/>
      <c r="G5" s="77" t="str">
        <f>'80-120'!G5</f>
        <v>000-000</v>
      </c>
      <c r="H5" s="74"/>
      <c r="I5" s="74"/>
      <c r="J5" s="74"/>
    </row>
    <row r="6" spans="1:10">
      <c r="A6" s="78"/>
      <c r="B6" s="79"/>
      <c r="C6" s="79"/>
      <c r="D6" s="79" t="s">
        <v>763</v>
      </c>
      <c r="E6" s="79" t="s">
        <v>764</v>
      </c>
      <c r="F6" s="79"/>
      <c r="G6" s="79"/>
      <c r="H6" s="79" t="s">
        <v>765</v>
      </c>
      <c r="I6" s="74"/>
      <c r="J6" s="74"/>
    </row>
    <row r="7" spans="1:10">
      <c r="A7" s="80"/>
      <c r="B7" s="81" t="s">
        <v>766</v>
      </c>
      <c r="C7" s="82" t="s">
        <v>767</v>
      </c>
      <c r="D7" s="82" t="s">
        <v>768</v>
      </c>
      <c r="E7" s="83" t="s">
        <v>769</v>
      </c>
      <c r="F7" s="84"/>
      <c r="G7" s="83" t="s">
        <v>770</v>
      </c>
      <c r="H7" s="83" t="s">
        <v>771</v>
      </c>
      <c r="I7" s="74"/>
      <c r="J7" s="74"/>
    </row>
    <row r="8" spans="1:10">
      <c r="A8" s="85" t="s">
        <v>772</v>
      </c>
      <c r="B8" s="86"/>
      <c r="C8" s="86"/>
      <c r="D8" s="86"/>
      <c r="E8" s="87"/>
      <c r="F8" s="79"/>
      <c r="G8" s="87"/>
      <c r="H8" s="87"/>
      <c r="I8" s="74"/>
      <c r="J8" s="74"/>
    </row>
    <row r="9" spans="1:10">
      <c r="A9" s="88" t="s">
        <v>773</v>
      </c>
      <c r="B9" s="174">
        <f>ROUND(('80-120'!B9+'80-120'!L9)/2,2)</f>
        <v>0</v>
      </c>
      <c r="C9" s="175">
        <f>ROUND(('80-120'!C9+'80-120'!M9)/2,2)</f>
        <v>0</v>
      </c>
      <c r="D9" s="175">
        <f>ROUND(('80-120'!D9+'80-120'!N9)/2,2)</f>
        <v>0</v>
      </c>
      <c r="E9" s="176">
        <f>ROUND(('80-120'!E9+'80-120'!O9)/2,2)</f>
        <v>0</v>
      </c>
      <c r="F9" s="92"/>
      <c r="G9" s="177">
        <f>ROUND(('80-120'!G9+'80-120'!Q9)/2,2)</f>
        <v>0</v>
      </c>
      <c r="H9" s="178">
        <f>ROUND(SUM(B9:G9),2)</f>
        <v>0</v>
      </c>
      <c r="I9" s="74"/>
      <c r="J9" s="74"/>
    </row>
    <row r="10" spans="1:10">
      <c r="A10" s="88" t="s">
        <v>774</v>
      </c>
      <c r="B10" s="179">
        <f>ROUND(('80-120'!B10+'80-120'!L10)/2,2)</f>
        <v>0</v>
      </c>
      <c r="C10" s="180">
        <f>ROUND(('80-120'!C10+'80-120'!M10)/2,2)</f>
        <v>0</v>
      </c>
      <c r="D10" s="180">
        <f>ROUND(('80-120'!D10+'80-120'!N10)/2,2)</f>
        <v>0</v>
      </c>
      <c r="E10" s="181">
        <f>ROUND(('80-120'!E10+'80-120'!O10)/2,2)</f>
        <v>0</v>
      </c>
      <c r="F10" s="92"/>
      <c r="G10" s="182">
        <f>ROUND(('80-120'!G10+'80-120'!Q10)/2,2)</f>
        <v>0</v>
      </c>
      <c r="H10" s="178">
        <f>ROUND(SUM(B10:G10),2)</f>
        <v>0</v>
      </c>
      <c r="I10" s="74"/>
      <c r="J10" s="74"/>
    </row>
    <row r="11" spans="1:10">
      <c r="A11" s="99" t="s">
        <v>775</v>
      </c>
      <c r="B11" s="92"/>
      <c r="C11" s="92"/>
      <c r="D11" s="100"/>
      <c r="E11" s="92"/>
      <c r="F11" s="79"/>
      <c r="G11" s="92"/>
      <c r="H11" s="92"/>
      <c r="I11" s="74"/>
      <c r="J11" s="74"/>
    </row>
    <row r="12" spans="1:10">
      <c r="A12" s="101" t="s">
        <v>776</v>
      </c>
      <c r="B12" s="92"/>
      <c r="C12" s="92"/>
      <c r="D12" s="174">
        <f>ROUND(('80-120'!D12+'80-120'!N12)/2,2)</f>
        <v>0</v>
      </c>
      <c r="E12" s="176">
        <f>ROUND(('80-120'!E12+'80-120'!O12)/2,2)</f>
        <v>0</v>
      </c>
      <c r="F12" s="92"/>
      <c r="G12" s="177">
        <f>ROUND(('80-120'!G12+'80-120'!Q12)/2,2)</f>
        <v>0</v>
      </c>
      <c r="H12" s="178">
        <f>ROUND(SUM(D12:G12),2)</f>
        <v>0</v>
      </c>
      <c r="I12" s="74"/>
      <c r="J12" s="74"/>
    </row>
    <row r="13" spans="1:10">
      <c r="A13" s="101" t="s">
        <v>777</v>
      </c>
      <c r="B13" s="92"/>
      <c r="C13" s="92"/>
      <c r="D13" s="179">
        <f>ROUND(('80-120'!D13+'80-120'!N13)/2,2)</f>
        <v>0</v>
      </c>
      <c r="E13" s="181">
        <f>ROUND(('80-120'!E13+'80-120'!O13)/2,2)</f>
        <v>0</v>
      </c>
      <c r="F13" s="92"/>
      <c r="G13" s="182">
        <f>ROUND(('80-120'!G13+'80-120'!Q13)/2,2)</f>
        <v>0</v>
      </c>
      <c r="H13" s="178">
        <f t="shared" ref="H13:H23" si="0">ROUND(SUM(D13:G13),2)</f>
        <v>0</v>
      </c>
      <c r="I13" s="74"/>
      <c r="J13" s="74"/>
    </row>
    <row r="14" spans="1:10">
      <c r="A14" s="101" t="s">
        <v>778</v>
      </c>
      <c r="B14" s="92"/>
      <c r="C14" s="92"/>
      <c r="D14" s="179">
        <f>ROUND(('80-120'!D14+'80-120'!N14)/2,2)</f>
        <v>0</v>
      </c>
      <c r="E14" s="181">
        <f>ROUND(('80-120'!E14+'80-120'!O14)/2,2)</f>
        <v>0</v>
      </c>
      <c r="F14" s="92"/>
      <c r="G14" s="182">
        <f>ROUND(('80-120'!G14+'80-120'!Q14)/2,2)</f>
        <v>0</v>
      </c>
      <c r="H14" s="178">
        <f t="shared" si="0"/>
        <v>0</v>
      </c>
      <c r="I14" s="74"/>
      <c r="J14" s="74"/>
    </row>
    <row r="15" spans="1:10">
      <c r="A15" s="101" t="s">
        <v>779</v>
      </c>
      <c r="B15" s="92"/>
      <c r="C15" s="92"/>
      <c r="D15" s="179">
        <f>ROUND(('80-120'!D15+'80-120'!N15)/2,2)</f>
        <v>0</v>
      </c>
      <c r="E15" s="181">
        <f>ROUND(('80-120'!E15+'80-120'!O15)/2,2)</f>
        <v>0</v>
      </c>
      <c r="F15" s="92"/>
      <c r="G15" s="182">
        <f>ROUND(('80-120'!G15+'80-120'!Q15)/2,2)</f>
        <v>0</v>
      </c>
      <c r="H15" s="178">
        <f t="shared" si="0"/>
        <v>0</v>
      </c>
      <c r="I15" s="74"/>
      <c r="J15" s="74"/>
    </row>
    <row r="16" spans="1:10">
      <c r="A16" s="101" t="s">
        <v>780</v>
      </c>
      <c r="B16" s="92"/>
      <c r="C16" s="92"/>
      <c r="D16" s="179">
        <f>ROUND(('80-120'!D16+'80-120'!N16)/2,2)</f>
        <v>0</v>
      </c>
      <c r="E16" s="181">
        <f>ROUND(('80-120'!E16+'80-120'!O16)/2,2)</f>
        <v>0</v>
      </c>
      <c r="F16" s="92"/>
      <c r="G16" s="182">
        <f>ROUND(('80-120'!G16+'80-120'!Q16)/2,2)</f>
        <v>0</v>
      </c>
      <c r="H16" s="178">
        <f t="shared" si="0"/>
        <v>0</v>
      </c>
      <c r="I16" s="74"/>
      <c r="J16" s="74"/>
    </row>
    <row r="17" spans="1:10">
      <c r="A17" s="101" t="s">
        <v>781</v>
      </c>
      <c r="B17" s="92"/>
      <c r="C17" s="92"/>
      <c r="D17" s="179">
        <f>ROUND(('80-120'!D17+'80-120'!N17)/2,2)</f>
        <v>0</v>
      </c>
      <c r="E17" s="181">
        <f>ROUND(('80-120'!E17+'80-120'!O17)/2,2)</f>
        <v>0</v>
      </c>
      <c r="F17" s="92"/>
      <c r="G17" s="182">
        <f>ROUND(('80-120'!G17+'80-120'!Q17)/2,2)</f>
        <v>0</v>
      </c>
      <c r="H17" s="178">
        <f t="shared" si="0"/>
        <v>0</v>
      </c>
      <c r="I17" s="74"/>
      <c r="J17" s="74"/>
    </row>
    <row r="18" spans="1:10">
      <c r="A18" s="101" t="s">
        <v>782</v>
      </c>
      <c r="B18" s="92"/>
      <c r="C18" s="92"/>
      <c r="D18" s="179">
        <f>ROUND(('80-120'!D18+'80-120'!N18)/2,2)</f>
        <v>0</v>
      </c>
      <c r="E18" s="181">
        <f>ROUND(('80-120'!E18+'80-120'!O18)/2,2)</f>
        <v>0</v>
      </c>
      <c r="F18" s="92"/>
      <c r="G18" s="182">
        <f>ROUND(('80-120'!G18+'80-120'!Q18)/2,2)</f>
        <v>0</v>
      </c>
      <c r="H18" s="178">
        <f t="shared" si="0"/>
        <v>0</v>
      </c>
      <c r="I18" s="74"/>
      <c r="J18" s="74"/>
    </row>
    <row r="19" spans="1:10">
      <c r="A19" s="101" t="s">
        <v>783</v>
      </c>
      <c r="B19" s="92"/>
      <c r="C19" s="92"/>
      <c r="D19" s="179">
        <f>ROUND(('80-120'!D19+'80-120'!N19)/2,2)</f>
        <v>0</v>
      </c>
      <c r="E19" s="181">
        <f>ROUND(('80-120'!E19+'80-120'!O19)/2,2)</f>
        <v>0</v>
      </c>
      <c r="F19" s="92"/>
      <c r="G19" s="182">
        <f>ROUND(('80-120'!G19+'80-120'!Q19)/2,2)</f>
        <v>0</v>
      </c>
      <c r="H19" s="178">
        <f t="shared" si="0"/>
        <v>0</v>
      </c>
      <c r="I19" s="74"/>
      <c r="J19" s="74"/>
    </row>
    <row r="20" spans="1:10">
      <c r="A20" s="101" t="s">
        <v>784</v>
      </c>
      <c r="B20" s="92"/>
      <c r="C20" s="92"/>
      <c r="D20" s="179">
        <f>ROUND(('80-120'!D20+'80-120'!N20)/2,2)</f>
        <v>0</v>
      </c>
      <c r="E20" s="181">
        <f>ROUND(('80-120'!E20+'80-120'!O20)/2,2)</f>
        <v>0</v>
      </c>
      <c r="F20" s="92"/>
      <c r="G20" s="182">
        <f>ROUND(('80-120'!G20+'80-120'!Q20)/2,2)</f>
        <v>0</v>
      </c>
      <c r="H20" s="178">
        <f t="shared" si="0"/>
        <v>0</v>
      </c>
      <c r="I20" s="74"/>
      <c r="J20" s="74"/>
    </row>
    <row r="21" spans="1:10">
      <c r="A21" s="101" t="s">
        <v>785</v>
      </c>
      <c r="B21" s="92"/>
      <c r="C21" s="92"/>
      <c r="D21" s="179">
        <f>ROUND(('80-120'!D21+'80-120'!N21)/2,2)</f>
        <v>0</v>
      </c>
      <c r="E21" s="181">
        <f>ROUND(('80-120'!E21+'80-120'!O21)/2,2)</f>
        <v>0</v>
      </c>
      <c r="F21" s="92"/>
      <c r="G21" s="182">
        <f>ROUND(('80-120'!G21+'80-120'!Q21)/2,2)</f>
        <v>0</v>
      </c>
      <c r="H21" s="178">
        <f t="shared" si="0"/>
        <v>0</v>
      </c>
      <c r="I21" s="74"/>
      <c r="J21" s="74"/>
    </row>
    <row r="22" spans="1:10">
      <c r="A22" s="101" t="s">
        <v>786</v>
      </c>
      <c r="B22" s="92"/>
      <c r="C22" s="92"/>
      <c r="D22" s="179">
        <f>ROUND(('80-120'!D22+'80-120'!N22)/2,2)</f>
        <v>0</v>
      </c>
      <c r="E22" s="181">
        <f>ROUND(('80-120'!E22+'80-120'!O22)/2,2)</f>
        <v>0</v>
      </c>
      <c r="F22" s="92"/>
      <c r="G22" s="182">
        <f>ROUND(('80-120'!G22+'80-120'!Q22)/2,2)</f>
        <v>0</v>
      </c>
      <c r="H22" s="178">
        <f t="shared" si="0"/>
        <v>0</v>
      </c>
      <c r="I22" s="74"/>
      <c r="J22" s="74"/>
    </row>
    <row r="23" spans="1:10">
      <c r="A23" s="101" t="s">
        <v>787</v>
      </c>
      <c r="B23" s="102"/>
      <c r="C23" s="102"/>
      <c r="D23" s="183">
        <f>ROUND(('80-120'!D23+'80-120'!N23)/2,2)</f>
        <v>0</v>
      </c>
      <c r="E23" s="184">
        <f>ROUND(('80-120'!E23+'80-120'!O23)/2,2)</f>
        <v>0</v>
      </c>
      <c r="F23" s="92"/>
      <c r="G23" s="185">
        <f>ROUND(('80-120'!G23+'80-120'!Q23)/2,2)</f>
        <v>0</v>
      </c>
      <c r="H23" s="178">
        <f t="shared" si="0"/>
        <v>0</v>
      </c>
      <c r="I23" s="74"/>
      <c r="J23" s="74"/>
    </row>
    <row r="24" spans="1:10">
      <c r="A24" s="106" t="s">
        <v>788</v>
      </c>
      <c r="B24" s="94">
        <f>ROUND(SUM(B9:B23),2)</f>
        <v>0</v>
      </c>
      <c r="C24" s="94">
        <f t="shared" ref="C24:G24" si="1">ROUND(SUM(C9:C23),2)</f>
        <v>0</v>
      </c>
      <c r="D24" s="94">
        <f t="shared" si="1"/>
        <v>0</v>
      </c>
      <c r="E24" s="94">
        <f t="shared" si="1"/>
        <v>0</v>
      </c>
      <c r="F24" s="84"/>
      <c r="G24" s="94">
        <f t="shared" si="1"/>
        <v>0</v>
      </c>
      <c r="H24" s="92"/>
      <c r="I24" s="74"/>
      <c r="J24" s="74"/>
    </row>
    <row r="25" spans="1:10">
      <c r="A25" s="107" t="s">
        <v>789</v>
      </c>
      <c r="B25" s="108"/>
      <c r="C25" s="108"/>
      <c r="D25" s="108"/>
      <c r="E25" s="108"/>
      <c r="F25" s="108"/>
      <c r="G25" s="88" t="s">
        <v>790</v>
      </c>
      <c r="H25" s="94">
        <f>ROUND(((H9)/2)+H10,2)</f>
        <v>0</v>
      </c>
      <c r="I25" s="74"/>
      <c r="J25" s="74"/>
    </row>
    <row r="26" spans="1:10">
      <c r="A26" s="109"/>
      <c r="B26" s="108"/>
      <c r="C26" s="108"/>
      <c r="D26" s="108"/>
      <c r="E26" s="108"/>
      <c r="F26" s="108"/>
      <c r="G26" s="88" t="s">
        <v>791</v>
      </c>
      <c r="H26" s="110">
        <f>ROUND(SUM(H12:H23),2)</f>
        <v>0</v>
      </c>
      <c r="I26" s="74"/>
      <c r="J26" s="74"/>
    </row>
    <row r="27" spans="1:10">
      <c r="A27" s="74"/>
      <c r="B27" s="74"/>
      <c r="C27" s="74"/>
      <c r="D27" s="108"/>
      <c r="E27" s="108"/>
      <c r="F27" s="108"/>
      <c r="G27" s="106" t="s">
        <v>792</v>
      </c>
      <c r="H27" s="94">
        <f>ROUND(SUM(H25:H26),2)</f>
        <v>0</v>
      </c>
      <c r="I27" s="74"/>
      <c r="J27" s="74"/>
    </row>
    <row r="28" spans="1:10" ht="15" thickBot="1">
      <c r="A28" s="108"/>
      <c r="B28" s="108"/>
      <c r="C28" s="111"/>
      <c r="D28" s="108"/>
      <c r="E28" s="108"/>
      <c r="F28" s="108"/>
      <c r="G28" s="106" t="s">
        <v>793</v>
      </c>
      <c r="H28" s="186">
        <f>ROUND(('80-120'!H28+'80-120'!R28)/2,2)</f>
        <v>0</v>
      </c>
      <c r="I28" s="74"/>
      <c r="J28" s="74"/>
    </row>
    <row r="29" spans="1:10" ht="15" thickTop="1">
      <c r="A29" s="113"/>
      <c r="B29" s="113"/>
      <c r="C29" s="113"/>
      <c r="D29" s="114"/>
      <c r="E29" s="108"/>
      <c r="F29" s="108"/>
      <c r="G29" s="106" t="s">
        <v>795</v>
      </c>
      <c r="H29" s="94">
        <f>ROUND(SUM(H27:H28),2)</f>
        <v>0</v>
      </c>
      <c r="I29" s="74"/>
      <c r="J29" s="74"/>
    </row>
    <row r="30" spans="1:10">
      <c r="A30" s="113"/>
      <c r="B30" s="113"/>
      <c r="C30" s="113"/>
      <c r="D30" s="114"/>
      <c r="E30" s="108"/>
      <c r="F30" s="108"/>
      <c r="G30" s="106"/>
      <c r="H30" s="92"/>
      <c r="I30" s="74"/>
      <c r="J30" s="74"/>
    </row>
    <row r="31" spans="1:10">
      <c r="A31" s="74"/>
      <c r="B31" s="101" t="s">
        <v>796</v>
      </c>
      <c r="C31" s="187">
        <f>ROUND(('80-120'!C31+'80-120'!M31)/2,2)</f>
        <v>0</v>
      </c>
      <c r="D31" s="74"/>
      <c r="E31" s="74"/>
      <c r="F31" s="74"/>
      <c r="G31" s="74"/>
      <c r="H31" s="74"/>
      <c r="I31" s="74"/>
      <c r="J31" s="74"/>
    </row>
    <row r="32" spans="1:10">
      <c r="A32" s="113"/>
      <c r="B32" s="115" t="s">
        <v>797</v>
      </c>
      <c r="C32" s="188">
        <f>ROUND(('80-120'!C32+'80-120'!M32)/2,2)</f>
        <v>0</v>
      </c>
      <c r="D32" s="74"/>
      <c r="E32" s="74"/>
      <c r="F32" s="116" t="s">
        <v>798</v>
      </c>
      <c r="G32" s="117"/>
      <c r="H32" s="74"/>
      <c r="I32" s="74"/>
      <c r="J32" s="74"/>
    </row>
    <row r="33" spans="1:13">
      <c r="A33" s="114" t="s">
        <v>799</v>
      </c>
      <c r="B33" s="114"/>
      <c r="C33" s="113"/>
      <c r="D33" s="74"/>
      <c r="E33" s="74"/>
      <c r="F33" s="118" t="s">
        <v>800</v>
      </c>
      <c r="G33" s="118" t="s">
        <v>801</v>
      </c>
      <c r="H33" s="118" t="s">
        <v>820</v>
      </c>
      <c r="I33" s="74"/>
      <c r="J33" s="74"/>
      <c r="M33" s="189"/>
    </row>
    <row r="34" spans="1:13">
      <c r="A34" s="74"/>
      <c r="B34" s="74"/>
      <c r="C34" s="74"/>
      <c r="D34" s="74"/>
      <c r="E34" s="74"/>
      <c r="F34" s="119">
        <v>1</v>
      </c>
      <c r="G34" s="177">
        <f>ROUND(('80-120'!G34+'80-120'!Q34)/2,2)</f>
        <v>0</v>
      </c>
      <c r="H34" s="190">
        <f>G34/6</f>
        <v>0</v>
      </c>
      <c r="I34" s="74"/>
      <c r="J34" s="74"/>
      <c r="L34" s="191"/>
    </row>
    <row r="35" spans="1:13">
      <c r="A35" s="74"/>
      <c r="B35" s="121" t="s">
        <v>821</v>
      </c>
      <c r="C35" s="187">
        <f>ROUND(('80-120'!C35+'80-120'!M35)/2,2)</f>
        <v>0</v>
      </c>
      <c r="D35" s="74"/>
      <c r="E35" s="74"/>
      <c r="F35" s="119">
        <v>2</v>
      </c>
      <c r="G35" s="182">
        <f>ROUND(('80-120'!G35+'80-120'!Q35)/2,2)</f>
        <v>0</v>
      </c>
      <c r="H35" s="190">
        <f>G35/3</f>
        <v>0</v>
      </c>
      <c r="I35" s="74"/>
      <c r="J35" s="74"/>
      <c r="L35" s="189"/>
    </row>
    <row r="36" spans="1:13">
      <c r="A36" s="117"/>
      <c r="B36" s="74"/>
      <c r="C36" s="74"/>
      <c r="D36" s="74"/>
      <c r="E36" s="74"/>
      <c r="F36" s="122">
        <v>3</v>
      </c>
      <c r="G36" s="185">
        <f>ROUND(('80-120'!G36+'80-120'!Q36)/2,2)</f>
        <v>0</v>
      </c>
      <c r="H36" s="192">
        <f>G36/2</f>
        <v>0</v>
      </c>
      <c r="I36" s="74"/>
      <c r="J36" s="74"/>
      <c r="L36" s="189"/>
      <c r="M36" s="193"/>
    </row>
    <row r="37" spans="1:13">
      <c r="A37" s="124" t="s">
        <v>803</v>
      </c>
      <c r="B37" s="74"/>
      <c r="C37" s="74"/>
      <c r="D37" s="74"/>
      <c r="E37" s="74"/>
      <c r="F37" s="125" t="s">
        <v>804</v>
      </c>
      <c r="G37" s="194">
        <f>ROUND(SUM(G34:G36),2)</f>
        <v>0</v>
      </c>
      <c r="H37" s="195">
        <f>TRUNC(SUM(H34:H36),2)</f>
        <v>0</v>
      </c>
      <c r="I37" s="74"/>
      <c r="J37" s="74"/>
    </row>
    <row r="38" spans="1:13">
      <c r="A38" s="128" t="s">
        <v>801</v>
      </c>
      <c r="B38" s="74"/>
      <c r="C38" s="74"/>
      <c r="D38" s="74"/>
      <c r="E38" s="74"/>
      <c r="F38" s="74"/>
      <c r="G38" s="74"/>
      <c r="H38" s="74"/>
      <c r="I38" s="74"/>
      <c r="J38" s="74"/>
    </row>
    <row r="39" spans="1:13">
      <c r="A39" s="187">
        <f>ROUND(('80-120'!A39+'80-120'!K39)/2,2)</f>
        <v>0</v>
      </c>
      <c r="B39" s="74"/>
      <c r="C39" s="74"/>
      <c r="D39" s="74"/>
      <c r="E39" s="74"/>
      <c r="F39" s="74"/>
      <c r="G39" s="74"/>
      <c r="H39" s="74"/>
      <c r="I39" s="74"/>
      <c r="J39" s="74"/>
    </row>
    <row r="40" spans="1:13">
      <c r="A40" s="74"/>
      <c r="B40" s="74"/>
      <c r="C40" s="74"/>
      <c r="D40" s="74"/>
      <c r="E40" s="74"/>
      <c r="F40" s="121"/>
      <c r="G40" s="74"/>
      <c r="H40" s="74"/>
      <c r="I40" s="74"/>
      <c r="J40" s="74"/>
    </row>
    <row r="41" spans="1:13">
      <c r="A41" s="74"/>
      <c r="B41" s="129" t="s">
        <v>805</v>
      </c>
      <c r="C41" s="130"/>
      <c r="D41" s="130"/>
      <c r="E41" s="130"/>
      <c r="F41" s="130"/>
      <c r="G41" s="130"/>
      <c r="H41" s="130"/>
      <c r="I41" s="131"/>
      <c r="J41" s="74"/>
    </row>
    <row r="42" spans="1:13">
      <c r="A42" s="74"/>
      <c r="B42" s="132"/>
      <c r="C42" s="133" t="s">
        <v>806</v>
      </c>
      <c r="D42" s="113"/>
      <c r="E42" s="113"/>
      <c r="F42" s="113"/>
      <c r="G42" s="134" t="s">
        <v>807</v>
      </c>
      <c r="H42" s="113"/>
      <c r="I42" s="135"/>
      <c r="J42" s="74"/>
      <c r="L42" s="191"/>
      <c r="M42" s="196"/>
    </row>
    <row r="43" spans="1:13">
      <c r="A43" s="74"/>
      <c r="B43" s="132"/>
      <c r="C43" s="136" t="s">
        <v>801</v>
      </c>
      <c r="D43" s="113"/>
      <c r="E43" s="137"/>
      <c r="F43" s="108"/>
      <c r="G43" s="136" t="s">
        <v>801</v>
      </c>
      <c r="H43" s="113"/>
      <c r="I43" s="135"/>
      <c r="J43" s="74"/>
    </row>
    <row r="44" spans="1:13">
      <c r="A44" s="74"/>
      <c r="B44" s="132"/>
      <c r="C44" s="187">
        <f>ROUND(('80-120'!C44+'80-120'!M44)/2,2)</f>
        <v>0</v>
      </c>
      <c r="D44" s="138"/>
      <c r="E44" s="137"/>
      <c r="F44" s="108"/>
      <c r="G44" s="187">
        <f>ROUND(('80-120'!G44+'80-120'!Q44)/2,2)</f>
        <v>0</v>
      </c>
      <c r="H44" s="113"/>
      <c r="I44" s="135"/>
      <c r="J44" s="74"/>
    </row>
    <row r="45" spans="1:13">
      <c r="A45" s="74"/>
      <c r="B45" s="132"/>
      <c r="C45" s="113"/>
      <c r="D45" s="138"/>
      <c r="E45" s="137"/>
      <c r="F45" s="108"/>
      <c r="G45" s="139"/>
      <c r="H45" s="113"/>
      <c r="I45" s="135"/>
      <c r="J45" s="74"/>
    </row>
    <row r="46" spans="1:13">
      <c r="A46" s="74"/>
      <c r="B46" s="132"/>
      <c r="C46" s="140" t="s">
        <v>808</v>
      </c>
      <c r="D46" s="141"/>
      <c r="E46" s="137"/>
      <c r="F46" s="113"/>
      <c r="G46" s="113"/>
      <c r="H46" s="113"/>
      <c r="I46" s="142"/>
      <c r="J46" s="74"/>
      <c r="L46" s="197"/>
      <c r="M46" s="197"/>
    </row>
    <row r="47" spans="1:13">
      <c r="A47" s="74"/>
      <c r="B47" s="132"/>
      <c r="C47" s="143" t="s">
        <v>809</v>
      </c>
      <c r="D47" s="143" t="s">
        <v>810</v>
      </c>
      <c r="E47" s="113"/>
      <c r="F47" s="144"/>
      <c r="G47" s="113"/>
      <c r="H47" s="113"/>
      <c r="I47" s="135"/>
      <c r="J47" s="74"/>
    </row>
    <row r="48" spans="1:13">
      <c r="A48" s="74"/>
      <c r="B48" s="132"/>
      <c r="C48" s="198">
        <f>ROUND(('80-120'!C48+'80-120'!M48)/2,2)</f>
        <v>0</v>
      </c>
      <c r="D48" s="199">
        <f>ROUND(('80-120'!D48+'80-120'!N48)/2,2)</f>
        <v>0</v>
      </c>
      <c r="E48" s="113"/>
      <c r="F48" s="113"/>
      <c r="G48" s="113"/>
      <c r="H48" s="113"/>
      <c r="I48" s="135"/>
      <c r="J48" s="74"/>
    </row>
    <row r="49" spans="1:10">
      <c r="A49" s="74"/>
      <c r="B49" s="145"/>
      <c r="C49" s="146"/>
      <c r="D49" s="146"/>
      <c r="E49" s="146"/>
      <c r="F49" s="146"/>
      <c r="G49" s="147"/>
      <c r="H49" s="146"/>
      <c r="I49" s="148"/>
      <c r="J49" s="74"/>
    </row>
    <row r="50" spans="1:10">
      <c r="A50" s="74"/>
      <c r="B50" s="74"/>
      <c r="C50" s="74"/>
      <c r="D50" s="74"/>
      <c r="E50" s="74"/>
      <c r="F50" s="74"/>
      <c r="G50" s="74"/>
      <c r="H50" s="74"/>
      <c r="I50" s="74"/>
      <c r="J50" s="74"/>
    </row>
    <row r="51" spans="1:10">
      <c r="A51" s="149" t="s">
        <v>811</v>
      </c>
      <c r="B51" s="74"/>
      <c r="C51" s="74"/>
      <c r="D51" s="74"/>
      <c r="E51" s="74"/>
      <c r="F51" s="74"/>
      <c r="G51" s="149" t="s">
        <v>812</v>
      </c>
      <c r="H51" s="74"/>
      <c r="I51" s="74"/>
      <c r="J51" s="74"/>
    </row>
    <row r="52" spans="1:10">
      <c r="A52" s="136" t="s">
        <v>801</v>
      </c>
      <c r="B52" s="74"/>
      <c r="C52" s="74"/>
      <c r="D52" s="74"/>
      <c r="E52" s="74"/>
      <c r="F52" s="74"/>
      <c r="G52" s="136" t="s">
        <v>801</v>
      </c>
      <c r="H52" s="74"/>
      <c r="I52" s="74"/>
      <c r="J52" s="74"/>
    </row>
    <row r="53" spans="1:10">
      <c r="A53" s="187">
        <f>ROUND(('80-120'!A53+'80-120'!K53)/2,2)</f>
        <v>0</v>
      </c>
      <c r="B53" s="74"/>
      <c r="C53" s="74"/>
      <c r="D53" s="74"/>
      <c r="E53" s="74"/>
      <c r="F53" s="74"/>
      <c r="G53" s="187">
        <f>ROUND(('80-120'!G53+'80-120'!Q53)/2,2)</f>
        <v>0</v>
      </c>
      <c r="H53" s="74"/>
      <c r="I53" s="74"/>
      <c r="J53" s="74"/>
    </row>
    <row r="54" spans="1:10">
      <c r="A54" s="74"/>
      <c r="B54" s="74"/>
      <c r="C54" s="74"/>
      <c r="D54" s="74"/>
      <c r="E54" s="74"/>
      <c r="F54" s="74"/>
      <c r="G54" s="74"/>
      <c r="H54" s="74"/>
      <c r="I54" s="74"/>
      <c r="J54" s="74"/>
    </row>
    <row r="55" spans="1:10">
      <c r="A55" s="150" t="str">
        <f>"1."</f>
        <v>1.</v>
      </c>
      <c r="B55" s="151" t="s">
        <v>813</v>
      </c>
      <c r="C55" s="108"/>
      <c r="D55" s="108"/>
      <c r="E55" s="108"/>
      <c r="F55" s="84"/>
      <c r="G55" s="84"/>
      <c r="H55" s="84"/>
      <c r="I55" s="74"/>
      <c r="J55" s="74"/>
    </row>
    <row r="56" spans="1:10">
      <c r="A56" s="152"/>
      <c r="B56" s="114" t="s">
        <v>814</v>
      </c>
      <c r="C56" s="74"/>
      <c r="D56" s="153"/>
      <c r="E56" s="86" t="s">
        <v>815</v>
      </c>
      <c r="F56" s="86" t="s">
        <v>816</v>
      </c>
      <c r="G56" s="84"/>
      <c r="H56" s="86" t="s">
        <v>801</v>
      </c>
      <c r="I56" s="86" t="s">
        <v>822</v>
      </c>
      <c r="J56" s="74"/>
    </row>
    <row r="57" spans="1:10">
      <c r="A57" s="152"/>
      <c r="B57" s="447">
        <f>'80-120'!B57</f>
        <v>0</v>
      </c>
      <c r="C57" s="448"/>
      <c r="D57" s="108"/>
      <c r="E57" s="200">
        <f>'80-120'!E57</f>
        <v>0</v>
      </c>
      <c r="F57" s="201">
        <f>'80-120'!F57</f>
        <v>0</v>
      </c>
      <c r="G57" s="84"/>
      <c r="H57" s="177">
        <f>ROUND(('80-120'!H57+'80-120'!R57)/2,2)</f>
        <v>0</v>
      </c>
      <c r="I57" s="156">
        <f>IF(AND(H57&lt;200,ROUND(((200-H57)/200)*(1*H57)&gt;0,3)),ROUND(((200-H57)/200)*(1*H57),3),0)</f>
        <v>0</v>
      </c>
      <c r="J57" s="74"/>
    </row>
    <row r="58" spans="1:10">
      <c r="A58" s="152"/>
      <c r="B58" s="445">
        <f>'80-120'!B58</f>
        <v>0</v>
      </c>
      <c r="C58" s="446"/>
      <c r="D58" s="108"/>
      <c r="E58" s="202">
        <f>'80-120'!E58</f>
        <v>0</v>
      </c>
      <c r="F58" s="203">
        <f>'80-120'!F58</f>
        <v>0</v>
      </c>
      <c r="G58" s="84"/>
      <c r="H58" s="182">
        <f>ROUND(('80-120'!H58+'80-120'!R58)/2,2)</f>
        <v>0</v>
      </c>
      <c r="I58" s="156">
        <f t="shared" ref="I58:I76" si="2">IF(AND(H58&lt;200,ROUND(((200-H58)/200)*(1*H58)&gt;0,3)),ROUND(((200-H58)/200)*(1*H58),3),0)</f>
        <v>0</v>
      </c>
      <c r="J58" s="74"/>
    </row>
    <row r="59" spans="1:10">
      <c r="A59" s="152"/>
      <c r="B59" s="445">
        <f>'80-120'!B59</f>
        <v>0</v>
      </c>
      <c r="C59" s="446"/>
      <c r="D59" s="108"/>
      <c r="E59" s="202">
        <f>'80-120'!E59</f>
        <v>0</v>
      </c>
      <c r="F59" s="203">
        <f>'80-120'!F59</f>
        <v>0</v>
      </c>
      <c r="G59" s="84"/>
      <c r="H59" s="182">
        <f>ROUND(('80-120'!H59+'80-120'!R59)/2,2)</f>
        <v>0</v>
      </c>
      <c r="I59" s="156">
        <f t="shared" si="2"/>
        <v>0</v>
      </c>
      <c r="J59" s="74"/>
    </row>
    <row r="60" spans="1:10">
      <c r="A60" s="152"/>
      <c r="B60" s="445">
        <f>'80-120'!B60</f>
        <v>0</v>
      </c>
      <c r="C60" s="446"/>
      <c r="D60" s="108"/>
      <c r="E60" s="202">
        <f>'80-120'!E60</f>
        <v>0</v>
      </c>
      <c r="F60" s="203">
        <f>'80-120'!F60</f>
        <v>0</v>
      </c>
      <c r="G60" s="84"/>
      <c r="H60" s="182">
        <f>ROUND(('80-120'!H60+'80-120'!R60)/2,2)</f>
        <v>0</v>
      </c>
      <c r="I60" s="156">
        <f t="shared" si="2"/>
        <v>0</v>
      </c>
      <c r="J60" s="74"/>
    </row>
    <row r="61" spans="1:10">
      <c r="A61" s="152"/>
      <c r="B61" s="445">
        <f>'80-120'!B61</f>
        <v>0</v>
      </c>
      <c r="C61" s="446"/>
      <c r="D61" s="108"/>
      <c r="E61" s="202">
        <f>'80-120'!E61</f>
        <v>0</v>
      </c>
      <c r="F61" s="203">
        <f>'80-120'!F61</f>
        <v>0</v>
      </c>
      <c r="G61" s="84"/>
      <c r="H61" s="182">
        <f>ROUND(('80-120'!H61+'80-120'!R61)/2,2)</f>
        <v>0</v>
      </c>
      <c r="I61" s="156">
        <f t="shared" si="2"/>
        <v>0</v>
      </c>
      <c r="J61" s="74"/>
    </row>
    <row r="62" spans="1:10">
      <c r="A62" s="152"/>
      <c r="B62" s="445">
        <f>'80-120'!B62</f>
        <v>0</v>
      </c>
      <c r="C62" s="446"/>
      <c r="D62" s="108"/>
      <c r="E62" s="202">
        <f>'80-120'!E62</f>
        <v>0</v>
      </c>
      <c r="F62" s="203">
        <f>'80-120'!F62</f>
        <v>0</v>
      </c>
      <c r="G62" s="84"/>
      <c r="H62" s="182">
        <f>ROUND(('80-120'!H62+'80-120'!R62)/2,2)</f>
        <v>0</v>
      </c>
      <c r="I62" s="156">
        <f t="shared" si="2"/>
        <v>0</v>
      </c>
      <c r="J62" s="74"/>
    </row>
    <row r="63" spans="1:10">
      <c r="A63" s="152"/>
      <c r="B63" s="445">
        <f>'80-120'!B63</f>
        <v>0</v>
      </c>
      <c r="C63" s="446"/>
      <c r="D63" s="108"/>
      <c r="E63" s="202">
        <f>'80-120'!E63</f>
        <v>0</v>
      </c>
      <c r="F63" s="203">
        <f>'80-120'!F63</f>
        <v>0</v>
      </c>
      <c r="G63" s="84"/>
      <c r="H63" s="182">
        <f>ROUND(('80-120'!H63+'80-120'!R63)/2,2)</f>
        <v>0</v>
      </c>
      <c r="I63" s="156">
        <f t="shared" si="2"/>
        <v>0</v>
      </c>
      <c r="J63" s="74"/>
    </row>
    <row r="64" spans="1:10">
      <c r="A64" s="152"/>
      <c r="B64" s="445">
        <f>'80-120'!B64</f>
        <v>0</v>
      </c>
      <c r="C64" s="446"/>
      <c r="D64" s="108"/>
      <c r="E64" s="202">
        <f>'80-120'!E64</f>
        <v>0</v>
      </c>
      <c r="F64" s="203">
        <f>'80-120'!F64</f>
        <v>0</v>
      </c>
      <c r="G64" s="84"/>
      <c r="H64" s="182">
        <f>ROUND(('80-120'!H64+'80-120'!R64)/2,2)</f>
        <v>0</v>
      </c>
      <c r="I64" s="156">
        <f t="shared" si="2"/>
        <v>0</v>
      </c>
      <c r="J64" s="74"/>
    </row>
    <row r="65" spans="1:10">
      <c r="A65" s="152"/>
      <c r="B65" s="445">
        <f>'80-120'!B65</f>
        <v>0</v>
      </c>
      <c r="C65" s="446"/>
      <c r="D65" s="108"/>
      <c r="E65" s="202">
        <f>'80-120'!E65</f>
        <v>0</v>
      </c>
      <c r="F65" s="203">
        <f>'80-120'!F65</f>
        <v>0</v>
      </c>
      <c r="G65" s="84"/>
      <c r="H65" s="182">
        <f>ROUND(('80-120'!H65+'80-120'!R65)/2,2)</f>
        <v>0</v>
      </c>
      <c r="I65" s="156">
        <f t="shared" si="2"/>
        <v>0</v>
      </c>
      <c r="J65" s="74"/>
    </row>
    <row r="66" spans="1:10">
      <c r="A66" s="152"/>
      <c r="B66" s="445">
        <f>'80-120'!B66</f>
        <v>0</v>
      </c>
      <c r="C66" s="446"/>
      <c r="D66" s="108"/>
      <c r="E66" s="202">
        <f>'80-120'!E66</f>
        <v>0</v>
      </c>
      <c r="F66" s="203">
        <f>'80-120'!F66</f>
        <v>0</v>
      </c>
      <c r="G66" s="84"/>
      <c r="H66" s="182">
        <f>ROUND(('80-120'!H66+'80-120'!R66)/2,2)</f>
        <v>0</v>
      </c>
      <c r="I66" s="156">
        <f t="shared" si="2"/>
        <v>0</v>
      </c>
      <c r="J66" s="74"/>
    </row>
    <row r="67" spans="1:10">
      <c r="A67" s="152"/>
      <c r="B67" s="445">
        <f>'80-120'!B67</f>
        <v>0</v>
      </c>
      <c r="C67" s="446"/>
      <c r="D67" s="108"/>
      <c r="E67" s="202">
        <f>'80-120'!E67</f>
        <v>0</v>
      </c>
      <c r="F67" s="203">
        <f>'80-120'!F67</f>
        <v>0</v>
      </c>
      <c r="G67" s="84"/>
      <c r="H67" s="182">
        <f>ROUND(('80-120'!H67+'80-120'!R67)/2,2)</f>
        <v>0</v>
      </c>
      <c r="I67" s="156">
        <f t="shared" si="2"/>
        <v>0</v>
      </c>
      <c r="J67" s="74"/>
    </row>
    <row r="68" spans="1:10">
      <c r="A68" s="152"/>
      <c r="B68" s="445">
        <f>'80-120'!B68</f>
        <v>0</v>
      </c>
      <c r="C68" s="446"/>
      <c r="D68" s="108"/>
      <c r="E68" s="202">
        <f>'80-120'!E68</f>
        <v>0</v>
      </c>
      <c r="F68" s="203">
        <f>'80-120'!F68</f>
        <v>0</v>
      </c>
      <c r="G68" s="84"/>
      <c r="H68" s="182">
        <f>ROUND(('80-120'!H68+'80-120'!R68)/2,2)</f>
        <v>0</v>
      </c>
      <c r="I68" s="156">
        <f t="shared" si="2"/>
        <v>0</v>
      </c>
      <c r="J68" s="74"/>
    </row>
    <row r="69" spans="1:10">
      <c r="A69" s="152"/>
      <c r="B69" s="445">
        <f>'80-120'!B69</f>
        <v>0</v>
      </c>
      <c r="C69" s="446"/>
      <c r="D69" s="108"/>
      <c r="E69" s="202">
        <f>'80-120'!E69</f>
        <v>0</v>
      </c>
      <c r="F69" s="203">
        <f>'80-120'!F69</f>
        <v>0</v>
      </c>
      <c r="G69" s="84"/>
      <c r="H69" s="182">
        <f>ROUND(('80-120'!H69+'80-120'!R69)/2,2)</f>
        <v>0</v>
      </c>
      <c r="I69" s="156">
        <f t="shared" si="2"/>
        <v>0</v>
      </c>
      <c r="J69" s="74"/>
    </row>
    <row r="70" spans="1:10">
      <c r="A70" s="152"/>
      <c r="B70" s="445">
        <f>'80-120'!B70</f>
        <v>0</v>
      </c>
      <c r="C70" s="446"/>
      <c r="D70" s="108"/>
      <c r="E70" s="202">
        <f>'80-120'!E70</f>
        <v>0</v>
      </c>
      <c r="F70" s="203">
        <f>'80-120'!F70</f>
        <v>0</v>
      </c>
      <c r="G70" s="84"/>
      <c r="H70" s="182">
        <f>ROUND(('80-120'!H70+'80-120'!R70)/2,2)</f>
        <v>0</v>
      </c>
      <c r="I70" s="156">
        <f t="shared" si="2"/>
        <v>0</v>
      </c>
      <c r="J70" s="74"/>
    </row>
    <row r="71" spans="1:10">
      <c r="A71" s="152"/>
      <c r="B71" s="445">
        <f>'80-120'!B71</f>
        <v>0</v>
      </c>
      <c r="C71" s="446"/>
      <c r="D71" s="108"/>
      <c r="E71" s="202">
        <f>'80-120'!E71</f>
        <v>0</v>
      </c>
      <c r="F71" s="203">
        <f>'80-120'!F71</f>
        <v>0</v>
      </c>
      <c r="G71" s="84"/>
      <c r="H71" s="182">
        <f>ROUND(('80-120'!H71+'80-120'!R71)/2,2)</f>
        <v>0</v>
      </c>
      <c r="I71" s="156">
        <f t="shared" si="2"/>
        <v>0</v>
      </c>
      <c r="J71" s="74"/>
    </row>
    <row r="72" spans="1:10">
      <c r="A72" s="152"/>
      <c r="B72" s="445">
        <f>'80-120'!B72</f>
        <v>0</v>
      </c>
      <c r="C72" s="446"/>
      <c r="D72" s="108"/>
      <c r="E72" s="202">
        <f>'80-120'!E72</f>
        <v>0</v>
      </c>
      <c r="F72" s="203">
        <f>'80-120'!F72</f>
        <v>0</v>
      </c>
      <c r="G72" s="84"/>
      <c r="H72" s="182">
        <f>ROUND(('80-120'!H72+'80-120'!R72)/2,2)</f>
        <v>0</v>
      </c>
      <c r="I72" s="156">
        <f t="shared" si="2"/>
        <v>0</v>
      </c>
      <c r="J72" s="74"/>
    </row>
    <row r="73" spans="1:10">
      <c r="A73" s="152"/>
      <c r="B73" s="445">
        <f>'80-120'!B73</f>
        <v>0</v>
      </c>
      <c r="C73" s="446"/>
      <c r="D73" s="108"/>
      <c r="E73" s="202">
        <f>'80-120'!E73</f>
        <v>0</v>
      </c>
      <c r="F73" s="203">
        <f>'80-120'!F73</f>
        <v>0</v>
      </c>
      <c r="G73" s="84"/>
      <c r="H73" s="182">
        <f>ROUND(('80-120'!H73+'80-120'!R73)/2,2)</f>
        <v>0</v>
      </c>
      <c r="I73" s="156">
        <f t="shared" si="2"/>
        <v>0</v>
      </c>
      <c r="J73" s="74"/>
    </row>
    <row r="74" spans="1:10">
      <c r="A74" s="152"/>
      <c r="B74" s="445">
        <f>'80-120'!B74</f>
        <v>0</v>
      </c>
      <c r="C74" s="446"/>
      <c r="D74" s="108"/>
      <c r="E74" s="202">
        <f>'80-120'!E74</f>
        <v>0</v>
      </c>
      <c r="F74" s="203">
        <f>'80-120'!F74</f>
        <v>0</v>
      </c>
      <c r="G74" s="84"/>
      <c r="H74" s="182">
        <f>ROUND(('80-120'!H74+'80-120'!R74)/2,2)</f>
        <v>0</v>
      </c>
      <c r="I74" s="156">
        <f t="shared" si="2"/>
        <v>0</v>
      </c>
      <c r="J74" s="74"/>
    </row>
    <row r="75" spans="1:10">
      <c r="A75" s="152"/>
      <c r="B75" s="445">
        <f>'80-120'!B75</f>
        <v>0</v>
      </c>
      <c r="C75" s="446"/>
      <c r="D75" s="108"/>
      <c r="E75" s="202">
        <f>'80-120'!E75</f>
        <v>0</v>
      </c>
      <c r="F75" s="203">
        <f>'80-120'!F75</f>
        <v>0</v>
      </c>
      <c r="G75" s="84"/>
      <c r="H75" s="182">
        <f>ROUND(('80-120'!H75+'80-120'!R75)/2,2)</f>
        <v>0</v>
      </c>
      <c r="I75" s="156">
        <f t="shared" si="2"/>
        <v>0</v>
      </c>
      <c r="J75" s="74"/>
    </row>
    <row r="76" spans="1:10">
      <c r="A76" s="152"/>
      <c r="B76" s="445">
        <f>'80-120'!B76</f>
        <v>0</v>
      </c>
      <c r="C76" s="446"/>
      <c r="D76" s="108"/>
      <c r="E76" s="202">
        <f>'80-120'!E76</f>
        <v>0</v>
      </c>
      <c r="F76" s="203">
        <f>'80-120'!F76</f>
        <v>0</v>
      </c>
      <c r="G76" s="84"/>
      <c r="H76" s="182">
        <f>ROUND(('80-120'!H76+'80-120'!R76)/2,2)</f>
        <v>0</v>
      </c>
      <c r="I76" s="204">
        <f t="shared" si="2"/>
        <v>0</v>
      </c>
      <c r="J76" s="74"/>
    </row>
    <row r="77" spans="1:10">
      <c r="A77" s="74"/>
      <c r="B77" s="74"/>
      <c r="C77" s="74"/>
      <c r="D77" s="108"/>
      <c r="E77" s="108"/>
      <c r="F77" s="108"/>
      <c r="G77" s="108"/>
      <c r="H77" s="164" t="s">
        <v>823</v>
      </c>
      <c r="I77" s="205">
        <f>ROUND(SUM(I57:I76),3)</f>
        <v>0</v>
      </c>
      <c r="J77" s="74"/>
    </row>
    <row r="78" spans="1:10">
      <c r="A78" s="150" t="str">
        <f>"2."</f>
        <v>2.</v>
      </c>
      <c r="B78" s="151" t="s">
        <v>817</v>
      </c>
      <c r="C78" s="108"/>
      <c r="D78" s="108"/>
      <c r="E78" s="108"/>
      <c r="F78" s="108"/>
      <c r="G78" s="108"/>
      <c r="H78" s="108"/>
      <c r="I78" s="74"/>
      <c r="J78" s="74"/>
    </row>
    <row r="79" spans="1:10">
      <c r="A79" s="152"/>
      <c r="B79" s="114" t="s">
        <v>814</v>
      </c>
      <c r="C79" s="74"/>
      <c r="D79" s="153"/>
      <c r="E79" s="86" t="s">
        <v>815</v>
      </c>
      <c r="F79" s="86" t="s">
        <v>816</v>
      </c>
      <c r="G79" s="108"/>
      <c r="H79" s="86" t="s">
        <v>801</v>
      </c>
      <c r="I79" s="86" t="s">
        <v>822</v>
      </c>
      <c r="J79" s="74"/>
    </row>
    <row r="80" spans="1:10">
      <c r="A80" s="152"/>
      <c r="B80" s="447">
        <f>'80-120'!B80</f>
        <v>0</v>
      </c>
      <c r="C80" s="448"/>
      <c r="D80" s="108"/>
      <c r="E80" s="200">
        <f>'80-120'!E80</f>
        <v>0</v>
      </c>
      <c r="F80" s="201">
        <f>'80-120'!F80</f>
        <v>0</v>
      </c>
      <c r="G80" s="84"/>
      <c r="H80" s="177">
        <f>ROUND(('80-120'!H80+'80-120'!R80)/2,2)</f>
        <v>0</v>
      </c>
      <c r="I80" s="156">
        <f t="shared" ref="I80:I89" si="3">IF(H80&lt;400,ROUND(MAX(((200-H80)/200)*(2*H80),((400-H80)/400)*(1.6*H80)),3),0)</f>
        <v>0</v>
      </c>
      <c r="J80" s="74"/>
    </row>
    <row r="81" spans="1:10">
      <c r="A81" s="152"/>
      <c r="B81" s="445">
        <f>'80-120'!B81</f>
        <v>0</v>
      </c>
      <c r="C81" s="446"/>
      <c r="D81" s="108"/>
      <c r="E81" s="202">
        <f>'80-120'!E81</f>
        <v>0</v>
      </c>
      <c r="F81" s="203">
        <f>'80-120'!F81</f>
        <v>0</v>
      </c>
      <c r="G81" s="84"/>
      <c r="H81" s="182">
        <f>ROUND(('80-120'!H81+'80-120'!R81)/2,2)</f>
        <v>0</v>
      </c>
      <c r="I81" s="156">
        <f t="shared" si="3"/>
        <v>0</v>
      </c>
      <c r="J81" s="74"/>
    </row>
    <row r="82" spans="1:10">
      <c r="A82" s="152"/>
      <c r="B82" s="445">
        <f>'80-120'!B82</f>
        <v>0</v>
      </c>
      <c r="C82" s="446"/>
      <c r="D82" s="108"/>
      <c r="E82" s="202">
        <f>'80-120'!E82</f>
        <v>0</v>
      </c>
      <c r="F82" s="203">
        <f>'80-120'!F82</f>
        <v>0</v>
      </c>
      <c r="G82" s="84"/>
      <c r="H82" s="182">
        <f>ROUND(('80-120'!H82+'80-120'!R82)/2,2)</f>
        <v>0</v>
      </c>
      <c r="I82" s="156">
        <f t="shared" si="3"/>
        <v>0</v>
      </c>
      <c r="J82" s="74"/>
    </row>
    <row r="83" spans="1:10">
      <c r="A83" s="152"/>
      <c r="B83" s="445">
        <f>'80-120'!B83</f>
        <v>0</v>
      </c>
      <c r="C83" s="446"/>
      <c r="D83" s="108"/>
      <c r="E83" s="202">
        <f>'80-120'!E83</f>
        <v>0</v>
      </c>
      <c r="F83" s="203">
        <f>'80-120'!F83</f>
        <v>0</v>
      </c>
      <c r="G83" s="84"/>
      <c r="H83" s="182">
        <f>ROUND(('80-120'!H83+'80-120'!R83)/2,2)</f>
        <v>0</v>
      </c>
      <c r="I83" s="156">
        <f t="shared" si="3"/>
        <v>0</v>
      </c>
      <c r="J83" s="74"/>
    </row>
    <row r="84" spans="1:10">
      <c r="A84" s="152"/>
      <c r="B84" s="445">
        <f>'80-120'!B84</f>
        <v>0</v>
      </c>
      <c r="C84" s="446"/>
      <c r="D84" s="108"/>
      <c r="E84" s="202">
        <f>'80-120'!E84</f>
        <v>0</v>
      </c>
      <c r="F84" s="203">
        <f>'80-120'!F84</f>
        <v>0</v>
      </c>
      <c r="G84" s="84"/>
      <c r="H84" s="182">
        <f>ROUND(('80-120'!H84+'80-120'!R84)/2,2)</f>
        <v>0</v>
      </c>
      <c r="I84" s="156">
        <f t="shared" si="3"/>
        <v>0</v>
      </c>
      <c r="J84" s="74"/>
    </row>
    <row r="85" spans="1:10">
      <c r="A85" s="152"/>
      <c r="B85" s="445">
        <f>'80-120'!B85</f>
        <v>0</v>
      </c>
      <c r="C85" s="446"/>
      <c r="D85" s="108"/>
      <c r="E85" s="202">
        <f>'80-120'!E85</f>
        <v>0</v>
      </c>
      <c r="F85" s="203">
        <f>'80-120'!F85</f>
        <v>0</v>
      </c>
      <c r="G85" s="84"/>
      <c r="H85" s="182">
        <f>ROUND(('80-120'!H85+'80-120'!R85)/2,2)</f>
        <v>0</v>
      </c>
      <c r="I85" s="156">
        <f t="shared" si="3"/>
        <v>0</v>
      </c>
      <c r="J85" s="74"/>
    </row>
    <row r="86" spans="1:10">
      <c r="A86" s="152"/>
      <c r="B86" s="445">
        <f>'80-120'!B86</f>
        <v>0</v>
      </c>
      <c r="C86" s="446"/>
      <c r="D86" s="108"/>
      <c r="E86" s="202">
        <f>'80-120'!E86</f>
        <v>0</v>
      </c>
      <c r="F86" s="203">
        <f>'80-120'!F86</f>
        <v>0</v>
      </c>
      <c r="G86" s="84"/>
      <c r="H86" s="182">
        <f>ROUND(('80-120'!H86+'80-120'!R86)/2,2)</f>
        <v>0</v>
      </c>
      <c r="I86" s="156">
        <f t="shared" si="3"/>
        <v>0</v>
      </c>
      <c r="J86" s="74"/>
    </row>
    <row r="87" spans="1:10">
      <c r="A87" s="152"/>
      <c r="B87" s="445">
        <f>'80-120'!B87</f>
        <v>0</v>
      </c>
      <c r="C87" s="446"/>
      <c r="D87" s="108"/>
      <c r="E87" s="202">
        <f>'80-120'!E87</f>
        <v>0</v>
      </c>
      <c r="F87" s="203">
        <f>'80-120'!F87</f>
        <v>0</v>
      </c>
      <c r="G87" s="84"/>
      <c r="H87" s="182">
        <f>ROUND(('80-120'!H87+'80-120'!R87)/2,2)</f>
        <v>0</v>
      </c>
      <c r="I87" s="156">
        <f t="shared" si="3"/>
        <v>0</v>
      </c>
      <c r="J87" s="74"/>
    </row>
    <row r="88" spans="1:10">
      <c r="A88" s="152"/>
      <c r="B88" s="445">
        <f>'80-120'!B88</f>
        <v>0</v>
      </c>
      <c r="C88" s="446"/>
      <c r="D88" s="108"/>
      <c r="E88" s="202">
        <f>'80-120'!E88</f>
        <v>0</v>
      </c>
      <c r="F88" s="203">
        <f>'80-120'!F88</f>
        <v>0</v>
      </c>
      <c r="G88" s="84"/>
      <c r="H88" s="182">
        <f>ROUND(('80-120'!H88+'80-120'!R88)/2,2)</f>
        <v>0</v>
      </c>
      <c r="I88" s="156">
        <f t="shared" si="3"/>
        <v>0</v>
      </c>
      <c r="J88" s="74"/>
    </row>
    <row r="89" spans="1:10">
      <c r="A89" s="152"/>
      <c r="B89" s="445">
        <f>'80-120'!B89</f>
        <v>0</v>
      </c>
      <c r="C89" s="446"/>
      <c r="D89" s="108"/>
      <c r="E89" s="202">
        <f>'80-120'!E89</f>
        <v>0</v>
      </c>
      <c r="F89" s="203">
        <f>'80-120'!F89</f>
        <v>0</v>
      </c>
      <c r="G89" s="84"/>
      <c r="H89" s="182">
        <f>ROUND(('80-120'!H89+'80-120'!R89)/2,2)</f>
        <v>0</v>
      </c>
      <c r="I89" s="156">
        <f t="shared" si="3"/>
        <v>0</v>
      </c>
      <c r="J89" s="74"/>
    </row>
    <row r="90" spans="1:10">
      <c r="A90" s="74"/>
      <c r="B90" s="74"/>
      <c r="C90" s="74"/>
      <c r="D90" s="74"/>
      <c r="E90" s="74"/>
      <c r="F90" s="74"/>
      <c r="G90" s="74"/>
      <c r="H90" s="164" t="s">
        <v>824</v>
      </c>
      <c r="I90" s="205">
        <f>ROUND(SUM(I80:I89),3)</f>
        <v>0</v>
      </c>
      <c r="J90" s="74"/>
    </row>
  </sheetData>
  <sheetProtection algorithmName="SHA-512" hashValue="Wc/TS4Tt6c51QVlxakEPDSx0NDPxdSGAwoRFE46oD+P69aCvQaijnzdrm4pmYq2whJzD5pTVCP5uPAMF2KxjfQ==" saltValue="5H88vWZ7wtHhBmmBSre6ug==" spinCount="100000" sheet="1" formatCells="0" formatColumns="0" formatRows="0" insertColumns="0" insertRows="0" insertHyperlinks="0" sort="0" autoFilter="0" pivotTables="0"/>
  <mergeCells count="33">
    <mergeCell ref="B65:C65"/>
    <mergeCell ref="A1:J1"/>
    <mergeCell ref="A2:J2"/>
    <mergeCell ref="A5:C5"/>
    <mergeCell ref="B57:C57"/>
    <mergeCell ref="B58:C58"/>
    <mergeCell ref="B59:C59"/>
    <mergeCell ref="B60:C60"/>
    <mergeCell ref="B61:C61"/>
    <mergeCell ref="B62:C62"/>
    <mergeCell ref="B63:C63"/>
    <mergeCell ref="B64:C64"/>
    <mergeCell ref="B80:C80"/>
    <mergeCell ref="B66:C66"/>
    <mergeCell ref="B67:C67"/>
    <mergeCell ref="B68:C68"/>
    <mergeCell ref="B69:C69"/>
    <mergeCell ref="B70:C70"/>
    <mergeCell ref="B71:C71"/>
    <mergeCell ref="B72:C72"/>
    <mergeCell ref="B73:C73"/>
    <mergeCell ref="B74:C74"/>
    <mergeCell ref="B75:C75"/>
    <mergeCell ref="B76:C76"/>
    <mergeCell ref="B87:C87"/>
    <mergeCell ref="B88:C88"/>
    <mergeCell ref="B89:C89"/>
    <mergeCell ref="B81:C81"/>
    <mergeCell ref="B82:C82"/>
    <mergeCell ref="B83:C83"/>
    <mergeCell ref="B84:C84"/>
    <mergeCell ref="B85:C85"/>
    <mergeCell ref="B86:C86"/>
  </mergeCells>
  <printOptions horizontalCentered="1"/>
  <pageMargins left="0.2" right="0.2" top="0.5" bottom="0.75" header="0" footer="0.3"/>
  <pageSetup scale="84" orientation="portrait" r:id="rId1"/>
  <rowBreaks count="1" manualBreakCount="1">
    <brk id="5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1"/>
  <sheetViews>
    <sheetView topLeftCell="A118" zoomScale="90" zoomScaleNormal="90" workbookViewId="0">
      <selection activeCell="C134" sqref="C134"/>
    </sheetView>
  </sheetViews>
  <sheetFormatPr defaultColWidth="8" defaultRowHeight="10.199999999999999"/>
  <cols>
    <col min="1" max="1" width="27.5546875" style="216" customWidth="1"/>
    <col min="2" max="2" width="18.33203125" style="216" customWidth="1"/>
    <col min="3" max="3" width="21.33203125" style="216" customWidth="1"/>
    <col min="4" max="4" width="16.88671875" style="216" customWidth="1"/>
    <col min="5" max="5" width="25.5546875" style="216" customWidth="1"/>
    <col min="6" max="6" width="15.5546875" style="216" customWidth="1"/>
    <col min="7" max="7" width="17.109375" style="216" customWidth="1"/>
    <col min="8" max="8" width="9.88671875" style="216" customWidth="1"/>
    <col min="9" max="9" width="8.33203125" style="216" bestFit="1" customWidth="1"/>
    <col min="10" max="10" width="15.6640625" style="246" customWidth="1"/>
    <col min="11" max="11" width="28.33203125" style="216" customWidth="1"/>
    <col min="12" max="16384" width="8" style="216"/>
  </cols>
  <sheetData>
    <row r="1" spans="1:13" ht="13.8">
      <c r="A1" s="454" t="s">
        <v>947</v>
      </c>
      <c r="B1" s="454"/>
      <c r="C1" s="454"/>
      <c r="D1" s="454"/>
      <c r="E1" s="454"/>
      <c r="F1" s="454"/>
      <c r="G1" s="454"/>
      <c r="H1" s="454"/>
      <c r="I1" s="454"/>
      <c r="J1" s="454"/>
      <c r="K1" s="454"/>
    </row>
    <row r="2" spans="1:13" s="210" customFormat="1" ht="12" customHeight="1">
      <c r="A2" s="206" t="e">
        <f>IF($C$7="Select…","ERROR, SELECT IF CHARTER BELOW",IF($C$7="N","District Name","Charter Name"))</f>
        <v>#N/A</v>
      </c>
      <c r="B2" s="207"/>
      <c r="C2" s="449">
        <f>'80-120'!$A$5</f>
        <v>0</v>
      </c>
      <c r="D2" s="449"/>
      <c r="E2" s="449"/>
      <c r="F2" s="207"/>
      <c r="I2" s="208" t="s">
        <v>825</v>
      </c>
      <c r="J2" s="209" t="e">
        <f>INDEX(PED_DATA_ONLY!$F$3:$F$202,MATCH('Estimated SEG FY22'!$J$3,PED_DATA_ONLY!$E$3:$E$202,0))</f>
        <v>#N/A</v>
      </c>
      <c r="K2" s="207"/>
    </row>
    <row r="3" spans="1:13" ht="12" customHeight="1">
      <c r="A3" s="211" t="s">
        <v>826</v>
      </c>
      <c r="B3" s="212"/>
      <c r="C3" s="450" t="e">
        <f>INDEX(PED_DATA_ONLY!$B$3:$B$202,MATCH('Estimated SEG FY22'!$J$3,PED_DATA_ONLY!$E$3:$E$202,0))</f>
        <v>#N/A</v>
      </c>
      <c r="D3" s="450"/>
      <c r="E3" s="450"/>
      <c r="F3" s="212"/>
      <c r="I3" s="208" t="e">
        <f>IF($C$7="Select…","ERROR, SELECT IF CHARTER BELOW",IF($C$7="N","District Number","Charter Number "))</f>
        <v>#N/A</v>
      </c>
      <c r="J3" s="213" t="str">
        <f>'80-120'!$G$5</f>
        <v>000-000</v>
      </c>
      <c r="K3" s="214"/>
    </row>
    <row r="4" spans="1:13" s="173" customFormat="1" ht="12" customHeight="1">
      <c r="A4" s="393"/>
      <c r="B4" s="393"/>
      <c r="C4" s="393"/>
      <c r="D4" s="393"/>
      <c r="E4" s="393"/>
      <c r="F4" s="393"/>
      <c r="G4" s="393"/>
      <c r="H4" s="393"/>
      <c r="I4" s="393"/>
      <c r="J4" s="393"/>
      <c r="K4" s="393"/>
    </row>
    <row r="5" spans="1:13" ht="12" customHeight="1" thickBot="1">
      <c r="A5" s="211"/>
      <c r="B5" s="212"/>
      <c r="C5" s="212"/>
      <c r="D5" s="212"/>
      <c r="E5" s="212"/>
      <c r="F5" s="212"/>
      <c r="G5" s="212"/>
      <c r="H5" s="212"/>
      <c r="I5" s="214"/>
      <c r="J5" s="215"/>
      <c r="K5" s="214"/>
    </row>
    <row r="6" spans="1:13" ht="12" customHeight="1">
      <c r="A6" s="217"/>
      <c r="B6" s="218"/>
      <c r="C6" s="219"/>
      <c r="D6" s="212"/>
      <c r="E6" s="212"/>
      <c r="F6" s="212"/>
      <c r="G6" s="212"/>
      <c r="H6" s="212"/>
      <c r="I6" s="214"/>
      <c r="J6" s="215"/>
      <c r="K6" s="214"/>
    </row>
    <row r="7" spans="1:13" ht="11.4">
      <c r="A7" s="220" t="s">
        <v>827</v>
      </c>
      <c r="B7" s="221"/>
      <c r="C7" s="222" t="e">
        <f>IF(J2="D","N","Y")</f>
        <v>#N/A</v>
      </c>
      <c r="D7" s="212"/>
      <c r="E7" s="212"/>
      <c r="F7" s="212"/>
      <c r="G7" s="212"/>
      <c r="H7" s="212"/>
      <c r="I7" s="214"/>
      <c r="J7" s="215"/>
      <c r="K7" s="214"/>
    </row>
    <row r="8" spans="1:13" ht="12" customHeight="1">
      <c r="A8" s="223"/>
      <c r="B8" s="221"/>
      <c r="C8" s="224"/>
      <c r="D8" s="212"/>
      <c r="E8" s="212"/>
      <c r="F8" s="212"/>
      <c r="G8" s="212"/>
      <c r="H8" s="212"/>
      <c r="I8" s="214"/>
      <c r="J8" s="215"/>
      <c r="K8" s="214"/>
    </row>
    <row r="9" spans="1:13" ht="11.4">
      <c r="A9" s="220" t="s">
        <v>828</v>
      </c>
      <c r="B9" s="221"/>
      <c r="C9" s="225" t="s">
        <v>34</v>
      </c>
      <c r="D9" s="212"/>
      <c r="E9" s="212"/>
      <c r="F9" s="212"/>
      <c r="G9" s="212"/>
      <c r="H9" s="212"/>
      <c r="I9" s="214"/>
      <c r="J9" s="215"/>
      <c r="K9" s="214"/>
    </row>
    <row r="10" spans="1:13" ht="12" customHeight="1" thickBot="1">
      <c r="A10" s="226"/>
      <c r="B10" s="227"/>
      <c r="C10" s="228"/>
      <c r="D10" s="212"/>
      <c r="E10" s="212"/>
      <c r="F10" s="212"/>
      <c r="G10" s="212"/>
      <c r="H10" s="212"/>
      <c r="I10" s="214"/>
      <c r="J10" s="215"/>
      <c r="K10" s="214"/>
    </row>
    <row r="11" spans="1:13" ht="12" customHeight="1">
      <c r="A11" s="211"/>
      <c r="B11" s="212"/>
      <c r="C11" s="212"/>
      <c r="D11" s="212"/>
      <c r="E11" s="212"/>
      <c r="F11" s="212"/>
      <c r="G11" s="212"/>
      <c r="H11" s="212"/>
      <c r="I11" s="214"/>
      <c r="J11" s="215"/>
      <c r="K11" s="214"/>
    </row>
    <row r="12" spans="1:13" s="235" customFormat="1" ht="12" customHeight="1">
      <c r="A12" s="229"/>
      <c r="B12" s="230"/>
      <c r="C12" s="230"/>
      <c r="D12" s="230"/>
      <c r="E12" s="230"/>
      <c r="F12" s="230"/>
      <c r="G12" s="230"/>
      <c r="H12" s="230" t="s">
        <v>765</v>
      </c>
      <c r="I12" s="231" t="s">
        <v>829</v>
      </c>
      <c r="J12" s="232" t="s">
        <v>830</v>
      </c>
      <c r="K12" s="233"/>
      <c r="L12" s="234"/>
    </row>
    <row r="13" spans="1:13" s="242" customFormat="1" ht="12" customHeight="1">
      <c r="A13" s="236"/>
      <c r="B13" s="237"/>
      <c r="C13" s="238"/>
      <c r="D13" s="238"/>
      <c r="E13" s="238"/>
      <c r="F13" s="212"/>
      <c r="G13" s="238"/>
      <c r="H13" s="238" t="s">
        <v>771</v>
      </c>
      <c r="I13" s="239" t="s">
        <v>831</v>
      </c>
      <c r="J13" s="232" t="s">
        <v>822</v>
      </c>
      <c r="K13" s="240"/>
      <c r="L13" s="241"/>
    </row>
    <row r="14" spans="1:13" s="246" customFormat="1" ht="12" customHeight="1">
      <c r="A14" s="243" t="s">
        <v>832</v>
      </c>
      <c r="B14" s="244"/>
      <c r="C14" s="232"/>
      <c r="D14" s="232"/>
      <c r="E14" s="245"/>
      <c r="F14" s="230"/>
      <c r="G14" s="245"/>
      <c r="H14" s="245"/>
      <c r="I14" s="215"/>
      <c r="J14" s="215"/>
      <c r="K14" s="214"/>
      <c r="L14" s="216"/>
      <c r="M14" s="235"/>
    </row>
    <row r="15" spans="1:13" ht="12" customHeight="1">
      <c r="A15" s="247" t="s">
        <v>833</v>
      </c>
      <c r="B15" s="214"/>
      <c r="C15" s="214"/>
      <c r="D15" s="214"/>
      <c r="E15" s="214"/>
      <c r="F15" s="214"/>
      <c r="G15" s="214" t="s">
        <v>834</v>
      </c>
      <c r="H15" s="248">
        <f>AVG!H9</f>
        <v>0</v>
      </c>
      <c r="I15" s="214"/>
      <c r="J15" s="215"/>
      <c r="K15" s="214"/>
      <c r="M15" s="242"/>
    </row>
    <row r="16" spans="1:13" ht="12" customHeight="1">
      <c r="A16" s="247" t="s">
        <v>774</v>
      </c>
      <c r="B16" s="249"/>
      <c r="C16" s="250"/>
      <c r="D16" s="214"/>
      <c r="E16" s="214"/>
      <c r="F16" s="214"/>
      <c r="G16" s="214"/>
      <c r="H16" s="248">
        <f>AVG!H10</f>
        <v>0</v>
      </c>
      <c r="I16" s="214"/>
      <c r="J16" s="215"/>
      <c r="K16" s="214"/>
      <c r="M16" s="242"/>
    </row>
    <row r="17" spans="1:12" ht="12" customHeight="1">
      <c r="A17" s="252" t="s">
        <v>835</v>
      </c>
      <c r="B17" s="249"/>
      <c r="C17" s="249"/>
      <c r="D17" s="214"/>
      <c r="E17" s="214"/>
      <c r="F17" s="214"/>
      <c r="G17" s="214"/>
      <c r="H17" s="249"/>
      <c r="I17" s="214"/>
      <c r="J17" s="215"/>
      <c r="K17" s="214"/>
    </row>
    <row r="18" spans="1:12" ht="12" customHeight="1">
      <c r="A18" s="253" t="s">
        <v>776</v>
      </c>
      <c r="B18" s="254"/>
      <c r="C18" s="249"/>
      <c r="D18" s="214"/>
      <c r="E18" s="214"/>
      <c r="F18" s="214"/>
      <c r="G18" s="214"/>
      <c r="H18" s="248">
        <f>AVG!H12</f>
        <v>0</v>
      </c>
      <c r="I18" s="255">
        <v>1.2</v>
      </c>
      <c r="J18" s="256">
        <f>ROUND(H18*I18,3)</f>
        <v>0</v>
      </c>
      <c r="K18" s="214"/>
    </row>
    <row r="19" spans="1:12" ht="12" customHeight="1">
      <c r="A19" s="253" t="s">
        <v>777</v>
      </c>
      <c r="B19" s="254"/>
      <c r="C19" s="249"/>
      <c r="D19" s="214"/>
      <c r="E19" s="214"/>
      <c r="F19" s="214"/>
      <c r="G19" s="214"/>
      <c r="H19" s="248">
        <f>AVG!H13</f>
        <v>0</v>
      </c>
      <c r="I19" s="255">
        <v>1.18</v>
      </c>
      <c r="J19" s="256">
        <f>ROUND(H19*I19,3)</f>
        <v>0</v>
      </c>
      <c r="K19" s="214"/>
      <c r="L19" s="257"/>
    </row>
    <row r="20" spans="1:12" ht="12" customHeight="1">
      <c r="A20" s="253" t="s">
        <v>778</v>
      </c>
      <c r="B20" s="254"/>
      <c r="C20" s="249"/>
      <c r="D20" s="214"/>
      <c r="E20" s="214"/>
      <c r="F20" s="214"/>
      <c r="G20" s="214"/>
      <c r="H20" s="248">
        <f>AVG!H14</f>
        <v>0</v>
      </c>
      <c r="I20" s="255">
        <v>1.18</v>
      </c>
      <c r="J20" s="256">
        <f t="shared" ref="J20:J29" si="0">ROUND(H20*I20,3)</f>
        <v>0</v>
      </c>
      <c r="K20" s="214"/>
      <c r="L20" s="257"/>
    </row>
    <row r="21" spans="1:12" ht="12" customHeight="1">
      <c r="A21" s="253" t="s">
        <v>779</v>
      </c>
      <c r="B21" s="254"/>
      <c r="C21" s="249"/>
      <c r="D21" s="214"/>
      <c r="E21" s="214"/>
      <c r="F21" s="214"/>
      <c r="G21" s="214"/>
      <c r="H21" s="248">
        <f>AVG!H15</f>
        <v>0</v>
      </c>
      <c r="I21" s="255">
        <v>1.0449999999999999</v>
      </c>
      <c r="J21" s="256">
        <f t="shared" si="0"/>
        <v>0</v>
      </c>
      <c r="K21" s="214"/>
      <c r="L21" s="257"/>
    </row>
    <row r="22" spans="1:12" ht="12" customHeight="1">
      <c r="A22" s="253" t="s">
        <v>780</v>
      </c>
      <c r="B22" s="254"/>
      <c r="C22" s="249"/>
      <c r="D22" s="214"/>
      <c r="E22" s="214"/>
      <c r="F22" s="214"/>
      <c r="G22" s="214"/>
      <c r="H22" s="248">
        <f>AVG!H16</f>
        <v>0</v>
      </c>
      <c r="I22" s="255">
        <v>1.0449999999999999</v>
      </c>
      <c r="J22" s="256">
        <f t="shared" si="0"/>
        <v>0</v>
      </c>
      <c r="K22" s="214"/>
      <c r="L22" s="257"/>
    </row>
    <row r="23" spans="1:12" ht="12" customHeight="1">
      <c r="A23" s="253" t="s">
        <v>781</v>
      </c>
      <c r="B23" s="254"/>
      <c r="C23" s="249"/>
      <c r="D23" s="214"/>
      <c r="E23" s="214"/>
      <c r="F23" s="214"/>
      <c r="G23" s="214"/>
      <c r="H23" s="248">
        <f>AVG!H17</f>
        <v>0</v>
      </c>
      <c r="I23" s="255">
        <v>1.0449999999999999</v>
      </c>
      <c r="J23" s="256">
        <f t="shared" si="0"/>
        <v>0</v>
      </c>
      <c r="K23" s="214"/>
      <c r="L23" s="257"/>
    </row>
    <row r="24" spans="1:12" ht="12" customHeight="1">
      <c r="A24" s="253" t="s">
        <v>782</v>
      </c>
      <c r="B24" s="254"/>
      <c r="C24" s="249"/>
      <c r="D24" s="214"/>
      <c r="E24" s="214"/>
      <c r="F24" s="214"/>
      <c r="G24" s="214"/>
      <c r="H24" s="248">
        <f>AVG!H18</f>
        <v>0</v>
      </c>
      <c r="I24" s="255">
        <v>1.25</v>
      </c>
      <c r="J24" s="256">
        <f t="shared" si="0"/>
        <v>0</v>
      </c>
      <c r="K24" s="214"/>
      <c r="L24" s="257"/>
    </row>
    <row r="25" spans="1:12" ht="12" customHeight="1">
      <c r="A25" s="253" t="s">
        <v>783</v>
      </c>
      <c r="B25" s="254"/>
      <c r="C25" s="249"/>
      <c r="D25" s="214"/>
      <c r="E25" s="214"/>
      <c r="F25" s="214"/>
      <c r="G25" s="214"/>
      <c r="H25" s="248">
        <f>AVG!H19</f>
        <v>0</v>
      </c>
      <c r="I25" s="255">
        <v>1.25</v>
      </c>
      <c r="J25" s="256">
        <f t="shared" si="0"/>
        <v>0</v>
      </c>
      <c r="K25" s="214"/>
      <c r="L25" s="257"/>
    </row>
    <row r="26" spans="1:12" ht="12" customHeight="1">
      <c r="A26" s="253" t="s">
        <v>784</v>
      </c>
      <c r="B26" s="254"/>
      <c r="C26" s="249"/>
      <c r="D26" s="214"/>
      <c r="E26" s="214"/>
      <c r="F26" s="214"/>
      <c r="G26" s="214"/>
      <c r="H26" s="248">
        <f>AVG!H20</f>
        <v>0</v>
      </c>
      <c r="I26" s="255">
        <v>1.25</v>
      </c>
      <c r="J26" s="256">
        <f t="shared" si="0"/>
        <v>0</v>
      </c>
      <c r="K26" s="214"/>
      <c r="L26" s="257"/>
    </row>
    <row r="27" spans="1:12" ht="12" customHeight="1">
      <c r="A27" s="253" t="s">
        <v>785</v>
      </c>
      <c r="B27" s="254"/>
      <c r="C27" s="249"/>
      <c r="D27" s="214"/>
      <c r="E27" s="214"/>
      <c r="F27" s="214"/>
      <c r="G27" s="214"/>
      <c r="H27" s="248">
        <f>AVG!H21</f>
        <v>0</v>
      </c>
      <c r="I27" s="255">
        <v>1.25</v>
      </c>
      <c r="J27" s="256">
        <f t="shared" si="0"/>
        <v>0</v>
      </c>
      <c r="K27" s="214"/>
      <c r="L27" s="257"/>
    </row>
    <row r="28" spans="1:12" ht="12" customHeight="1">
      <c r="A28" s="253" t="s">
        <v>786</v>
      </c>
      <c r="B28" s="254"/>
      <c r="C28" s="249"/>
      <c r="D28" s="214"/>
      <c r="E28" s="214"/>
      <c r="F28" s="214"/>
      <c r="G28" s="214"/>
      <c r="H28" s="248">
        <f>AVG!H22</f>
        <v>0</v>
      </c>
      <c r="I28" s="255">
        <v>1.25</v>
      </c>
      <c r="J28" s="256">
        <f t="shared" si="0"/>
        <v>0</v>
      </c>
      <c r="K28" s="214"/>
      <c r="L28" s="257"/>
    </row>
    <row r="29" spans="1:12" ht="12" customHeight="1">
      <c r="A29" s="253" t="s">
        <v>787</v>
      </c>
      <c r="B29" s="258"/>
      <c r="C29" s="259"/>
      <c r="D29" s="259"/>
      <c r="E29" s="259"/>
      <c r="F29" s="260"/>
      <c r="G29" s="259"/>
      <c r="H29" s="248">
        <f>AVG!H23</f>
        <v>0</v>
      </c>
      <c r="I29" s="255">
        <v>1.25</v>
      </c>
      <c r="J29" s="256">
        <f t="shared" si="0"/>
        <v>0</v>
      </c>
      <c r="K29" s="214"/>
      <c r="L29" s="257"/>
    </row>
    <row r="30" spans="1:12" ht="12" customHeight="1">
      <c r="A30" s="261"/>
      <c r="B30" s="259"/>
      <c r="C30" s="259"/>
      <c r="D30" s="259"/>
      <c r="E30" s="259"/>
      <c r="F30" s="212"/>
      <c r="G30" s="259"/>
      <c r="H30" s="249"/>
      <c r="I30" s="214"/>
      <c r="J30" s="215"/>
      <c r="K30" s="214"/>
    </row>
    <row r="31" spans="1:12" ht="12" customHeight="1">
      <c r="A31" s="262" t="s">
        <v>789</v>
      </c>
      <c r="B31" s="214"/>
      <c r="C31" s="214"/>
      <c r="D31" s="214"/>
      <c r="E31" s="214"/>
      <c r="F31" s="214"/>
      <c r="G31" s="247" t="s">
        <v>836</v>
      </c>
      <c r="H31" s="259">
        <f>ROUND((H15/2)+H16,2)</f>
        <v>0</v>
      </c>
      <c r="I31" s="255">
        <v>1.44</v>
      </c>
      <c r="J31" s="256">
        <f>ROUND(H31*I31,3)</f>
        <v>0</v>
      </c>
      <c r="K31" s="214"/>
      <c r="L31" s="257"/>
    </row>
    <row r="32" spans="1:12" ht="12" customHeight="1">
      <c r="A32" s="262"/>
      <c r="B32" s="214"/>
      <c r="C32" s="214"/>
      <c r="D32" s="214"/>
      <c r="E32" s="214"/>
      <c r="F32" s="214"/>
      <c r="G32" s="247" t="s">
        <v>791</v>
      </c>
      <c r="H32" s="263">
        <f>ROUND(SUM(H18:H29),2)</f>
        <v>0</v>
      </c>
      <c r="I32" s="214"/>
      <c r="J32" s="264"/>
      <c r="K32" s="214"/>
      <c r="L32" s="257"/>
    </row>
    <row r="33" spans="1:12" ht="12" customHeight="1">
      <c r="A33" s="214"/>
      <c r="B33" s="214"/>
      <c r="C33" s="214"/>
      <c r="D33" s="214"/>
      <c r="E33" s="214"/>
      <c r="F33" s="214"/>
      <c r="G33" s="265" t="s">
        <v>792</v>
      </c>
      <c r="H33" s="249">
        <f>ROUND(SUM(H31:H32),2)</f>
        <v>0</v>
      </c>
      <c r="I33" s="214"/>
      <c r="J33" s="264"/>
      <c r="K33" s="214"/>
      <c r="L33" s="257"/>
    </row>
    <row r="34" spans="1:12" ht="12" customHeight="1">
      <c r="A34" s="214"/>
      <c r="B34" s="214"/>
      <c r="C34" s="214"/>
      <c r="D34" s="214"/>
      <c r="E34" s="214"/>
      <c r="F34" s="214"/>
      <c r="G34" s="261" t="e">
        <f>IF(C7="N","Charter School Mem (for District size calculations)"," ")</f>
        <v>#N/A</v>
      </c>
      <c r="H34" s="266">
        <f>AVG!H28</f>
        <v>0</v>
      </c>
      <c r="I34" s="214"/>
      <c r="J34" s="215"/>
      <c r="K34" s="214"/>
    </row>
    <row r="35" spans="1:12" ht="12" customHeight="1">
      <c r="A35" s="214"/>
      <c r="B35" s="214"/>
      <c r="C35" s="214"/>
      <c r="D35" s="267"/>
      <c r="E35" s="214"/>
      <c r="F35" s="214"/>
      <c r="G35" s="265" t="s">
        <v>795</v>
      </c>
      <c r="H35" s="249">
        <f>ROUND(SUM(H33:H34),2)</f>
        <v>0</v>
      </c>
      <c r="I35" s="214"/>
      <c r="J35" s="264"/>
      <c r="K35" s="214"/>
      <c r="L35" s="257"/>
    </row>
    <row r="36" spans="1:12" ht="12" customHeight="1">
      <c r="A36" s="214"/>
      <c r="B36" s="214"/>
      <c r="C36" s="214"/>
      <c r="D36" s="267"/>
      <c r="E36" s="214"/>
      <c r="F36" s="214"/>
      <c r="G36" s="265"/>
      <c r="H36" s="268"/>
      <c r="I36" s="214"/>
      <c r="J36" s="264"/>
      <c r="K36" s="214"/>
      <c r="L36" s="257"/>
    </row>
    <row r="37" spans="1:12" ht="12" customHeight="1">
      <c r="A37" s="214"/>
      <c r="B37" s="214"/>
      <c r="C37" s="214"/>
      <c r="D37" s="267"/>
      <c r="E37" s="214"/>
      <c r="F37" s="214"/>
      <c r="G37" s="247" t="s">
        <v>837</v>
      </c>
      <c r="H37" s="268"/>
      <c r="I37" s="214"/>
      <c r="J37" s="256">
        <f>ROUND(J31,3)</f>
        <v>0</v>
      </c>
      <c r="K37" s="214"/>
      <c r="L37" s="257"/>
    </row>
    <row r="38" spans="1:12" ht="12" customHeight="1">
      <c r="A38" s="262"/>
      <c r="B38" s="214"/>
      <c r="C38" s="214"/>
      <c r="D38" s="267"/>
      <c r="E38" s="214"/>
      <c r="F38" s="214"/>
      <c r="G38" s="247" t="s">
        <v>838</v>
      </c>
      <c r="H38" s="268"/>
      <c r="I38" s="214"/>
      <c r="J38" s="256">
        <f>ROUND(SUM(J18:J29),3)</f>
        <v>0</v>
      </c>
      <c r="K38" s="214"/>
      <c r="L38" s="257"/>
    </row>
    <row r="39" spans="1:12" ht="12" customHeight="1">
      <c r="A39" s="214"/>
      <c r="B39" s="214"/>
      <c r="C39" s="269"/>
      <c r="D39" s="231"/>
      <c r="E39" s="231"/>
      <c r="F39" s="214"/>
      <c r="G39" s="261" t="s">
        <v>839</v>
      </c>
      <c r="H39" s="270"/>
      <c r="I39" s="214"/>
      <c r="J39" s="271">
        <f>ROUND(SUM(J37:J38),3)</f>
        <v>0</v>
      </c>
      <c r="K39" s="214"/>
      <c r="L39" s="257"/>
    </row>
    <row r="40" spans="1:12" ht="12" customHeight="1">
      <c r="A40" s="214"/>
      <c r="B40" s="214"/>
      <c r="C40" s="272"/>
      <c r="D40" s="239"/>
      <c r="E40" s="273"/>
      <c r="F40" s="214"/>
      <c r="G40" s="214"/>
      <c r="H40" s="270"/>
      <c r="I40" s="214"/>
      <c r="J40" s="215"/>
      <c r="K40" s="214"/>
    </row>
    <row r="41" spans="1:12" ht="12" customHeight="1">
      <c r="A41" s="243" t="s">
        <v>840</v>
      </c>
      <c r="B41" s="214"/>
      <c r="C41" s="214"/>
      <c r="D41" s="214"/>
      <c r="E41" s="214"/>
      <c r="F41" s="214"/>
      <c r="G41" s="214"/>
      <c r="H41" s="214"/>
      <c r="I41" s="214"/>
      <c r="J41" s="215"/>
      <c r="K41" s="214"/>
    </row>
    <row r="42" spans="1:12" ht="12" customHeight="1">
      <c r="A42" s="243"/>
      <c r="B42" s="214"/>
      <c r="C42" s="214"/>
      <c r="D42" s="214"/>
      <c r="E42" s="214"/>
      <c r="F42" s="214"/>
      <c r="G42" s="214"/>
      <c r="H42" s="214"/>
      <c r="I42" s="247" t="s">
        <v>841</v>
      </c>
      <c r="J42" s="215"/>
      <c r="K42" s="214"/>
    </row>
    <row r="43" spans="1:12" ht="12" customHeight="1">
      <c r="A43" s="247" t="s">
        <v>842</v>
      </c>
      <c r="B43" s="274" t="e">
        <f>INDEX(PED_DATA_ONLY!$U$3:$U$189,MATCH('Estimated SEG FY22'!$J$3,PED_DATA_ONLY!$S$3:$S$189,0))</f>
        <v>#N/A</v>
      </c>
      <c r="C43" s="214"/>
      <c r="D43" s="214"/>
      <c r="E43" s="214"/>
      <c r="F43" s="214"/>
      <c r="G43" s="214"/>
      <c r="H43" s="214"/>
      <c r="I43" s="275">
        <v>0.25</v>
      </c>
      <c r="J43" s="215"/>
      <c r="K43" s="214"/>
    </row>
    <row r="44" spans="1:12" ht="12" customHeight="1">
      <c r="A44" s="247" t="s">
        <v>843</v>
      </c>
      <c r="B44" s="274" t="e">
        <f>INDEX(PED_DATA_ONLY!$V$3:$V$189,MATCH('Estimated SEG FY22'!$J$3,PED_DATA_ONLY!$S$3:$S$189,0))</f>
        <v>#N/A</v>
      </c>
      <c r="C44" s="214"/>
      <c r="D44" s="214"/>
      <c r="E44" s="214"/>
      <c r="F44" s="214"/>
      <c r="G44" s="214"/>
      <c r="H44" s="214"/>
      <c r="I44" s="275">
        <v>0.75</v>
      </c>
      <c r="J44" s="215"/>
      <c r="K44" s="214"/>
    </row>
    <row r="45" spans="1:12" ht="12" customHeight="1">
      <c r="A45" s="276"/>
      <c r="B45" s="214"/>
      <c r="C45" s="214"/>
      <c r="D45" s="214"/>
      <c r="E45" s="214"/>
      <c r="F45" s="214"/>
      <c r="G45" s="247" t="s">
        <v>844</v>
      </c>
      <c r="H45" s="214"/>
      <c r="I45" s="277" t="e">
        <f>ROUND((B43*I43)+(B44*I44),3)</f>
        <v>#N/A</v>
      </c>
      <c r="J45" s="214"/>
      <c r="K45" s="214"/>
    </row>
    <row r="46" spans="1:12" ht="12" customHeight="1">
      <c r="A46" s="214"/>
      <c r="B46" s="214"/>
      <c r="C46" s="214"/>
      <c r="D46" s="214"/>
      <c r="E46" s="214"/>
      <c r="F46" s="214"/>
      <c r="G46" s="261" t="s">
        <v>845</v>
      </c>
      <c r="H46" s="214"/>
      <c r="I46" s="214"/>
      <c r="J46" s="271" t="e">
        <f>ROUND(J39*I45,3)</f>
        <v>#N/A</v>
      </c>
      <c r="K46" s="214"/>
    </row>
    <row r="47" spans="1:12" ht="12" customHeight="1">
      <c r="A47" s="251"/>
      <c r="B47" s="278"/>
      <c r="C47" s="279"/>
      <c r="D47" s="280"/>
      <c r="E47" s="214"/>
      <c r="F47" s="214"/>
      <c r="G47" s="261"/>
      <c r="H47" s="214"/>
      <c r="I47" s="214"/>
      <c r="J47" s="271"/>
      <c r="K47" s="214"/>
    </row>
    <row r="48" spans="1:12" ht="12" customHeight="1">
      <c r="A48" s="251" t="s">
        <v>846</v>
      </c>
      <c r="B48" s="279" t="s">
        <v>801</v>
      </c>
      <c r="C48" s="214"/>
      <c r="D48" s="214"/>
      <c r="E48" s="214"/>
      <c r="F48" s="214"/>
      <c r="G48" s="261"/>
      <c r="H48" s="214"/>
      <c r="I48" s="280" t="s">
        <v>847</v>
      </c>
      <c r="J48" s="280" t="s">
        <v>848</v>
      </c>
      <c r="K48" s="214"/>
    </row>
    <row r="49" spans="1:11" ht="12" customHeight="1">
      <c r="A49" s="253" t="s">
        <v>849</v>
      </c>
      <c r="B49" s="281">
        <f>AVG!D24</f>
        <v>0</v>
      </c>
      <c r="C49" s="214"/>
      <c r="D49" s="214"/>
      <c r="E49" s="214"/>
      <c r="F49" s="214"/>
      <c r="G49" s="214"/>
      <c r="H49" s="214"/>
      <c r="I49" s="282">
        <v>1</v>
      </c>
      <c r="J49" s="256">
        <f>ROUND(B49*I49,3)</f>
        <v>0</v>
      </c>
      <c r="K49" s="214"/>
    </row>
    <row r="50" spans="1:11" ht="12" customHeight="1">
      <c r="A50" s="253" t="s">
        <v>850</v>
      </c>
      <c r="B50" s="281">
        <f>AVG!E24</f>
        <v>0</v>
      </c>
      <c r="C50" s="214"/>
      <c r="D50" s="214"/>
      <c r="E50" s="214"/>
      <c r="F50" s="214"/>
      <c r="G50" s="214"/>
      <c r="H50" s="214"/>
      <c r="I50" s="282">
        <v>2</v>
      </c>
      <c r="J50" s="256">
        <f>ROUND(B50*I50,3)</f>
        <v>0</v>
      </c>
      <c r="K50" s="214"/>
    </row>
    <row r="51" spans="1:11" ht="12" customHeight="1">
      <c r="A51" s="247" t="s">
        <v>851</v>
      </c>
      <c r="B51" s="281">
        <f>AVG!C31</f>
        <v>0</v>
      </c>
      <c r="C51" s="214"/>
      <c r="D51" s="214"/>
      <c r="E51" s="214"/>
      <c r="F51" s="214"/>
      <c r="G51" s="214"/>
      <c r="H51" s="214"/>
      <c r="I51" s="282">
        <v>2</v>
      </c>
      <c r="J51" s="256">
        <f>ROUND(B51*I51,3)</f>
        <v>0</v>
      </c>
      <c r="K51" s="214"/>
    </row>
    <row r="52" spans="1:11" ht="12" customHeight="1">
      <c r="A52" s="253" t="s">
        <v>852</v>
      </c>
      <c r="B52" s="281">
        <f>AVG!C32</f>
        <v>0</v>
      </c>
      <c r="C52" s="214"/>
      <c r="D52" s="214"/>
      <c r="E52" s="214"/>
      <c r="F52" s="214"/>
      <c r="G52" s="214"/>
      <c r="H52" s="214"/>
      <c r="I52" s="282">
        <v>0.7</v>
      </c>
      <c r="J52" s="256">
        <f>ROUND(B52*I52,3)</f>
        <v>0</v>
      </c>
      <c r="K52" s="214"/>
    </row>
    <row r="53" spans="1:11" ht="12" customHeight="1">
      <c r="A53" s="253"/>
      <c r="B53" s="282"/>
      <c r="C53" s="282"/>
      <c r="D53" s="283"/>
      <c r="E53" s="214"/>
      <c r="F53" s="214"/>
      <c r="G53" s="247" t="s">
        <v>853</v>
      </c>
      <c r="H53" s="214"/>
      <c r="I53" s="214"/>
      <c r="J53" s="256">
        <f>ROUND(SUM(J49:J52),3)</f>
        <v>0</v>
      </c>
      <c r="K53" s="214"/>
    </row>
    <row r="54" spans="1:11" ht="12" customHeight="1">
      <c r="A54" s="247" t="s">
        <v>821</v>
      </c>
      <c r="B54" s="281">
        <f>AVG!C35</f>
        <v>0</v>
      </c>
      <c r="C54" s="214"/>
      <c r="D54" s="214"/>
      <c r="E54" s="214"/>
      <c r="F54" s="214"/>
      <c r="G54" s="247" t="s">
        <v>854</v>
      </c>
      <c r="H54" s="214"/>
      <c r="I54" s="278">
        <v>25</v>
      </c>
      <c r="J54" s="256">
        <f>ROUND(B54*I54,3)</f>
        <v>0</v>
      </c>
      <c r="K54" s="214"/>
    </row>
    <row r="55" spans="1:11" ht="12" customHeight="1">
      <c r="A55" s="214"/>
      <c r="B55" s="214"/>
      <c r="C55" s="214"/>
      <c r="D55" s="214"/>
      <c r="E55" s="214"/>
      <c r="F55" s="214"/>
      <c r="G55" s="261" t="s">
        <v>855</v>
      </c>
      <c r="H55" s="214"/>
      <c r="I55" s="214"/>
      <c r="J55" s="284">
        <f>ROUND(SUM(J53:J54),3)</f>
        <v>0</v>
      </c>
      <c r="K55" s="214"/>
    </row>
    <row r="56" spans="1:11" ht="12" customHeight="1">
      <c r="A56" s="214"/>
      <c r="B56" s="214"/>
      <c r="C56" s="214"/>
      <c r="D56" s="214"/>
      <c r="E56" s="214"/>
      <c r="F56" s="214"/>
      <c r="G56" s="261"/>
      <c r="H56" s="214"/>
      <c r="I56" s="214"/>
      <c r="J56" s="285"/>
      <c r="K56" s="214"/>
    </row>
    <row r="57" spans="1:11" ht="12.6">
      <c r="A57" s="252" t="s">
        <v>856</v>
      </c>
      <c r="B57" s="214"/>
      <c r="C57" s="214"/>
      <c r="D57" s="214"/>
      <c r="E57" s="214"/>
      <c r="F57" s="214"/>
      <c r="G57" s="214"/>
      <c r="H57" s="214"/>
      <c r="I57" s="214"/>
      <c r="J57" s="215"/>
      <c r="K57" s="214"/>
    </row>
    <row r="58" spans="1:11" ht="12" customHeight="1">
      <c r="A58" s="286"/>
      <c r="B58" s="280" t="s">
        <v>857</v>
      </c>
      <c r="C58" s="214"/>
      <c r="D58" s="287" t="s">
        <v>858</v>
      </c>
      <c r="E58" s="214"/>
      <c r="F58" s="214"/>
      <c r="G58" s="214"/>
      <c r="H58" s="214"/>
      <c r="I58" s="214"/>
      <c r="J58" s="214"/>
      <c r="K58" s="214"/>
    </row>
    <row r="59" spans="1:11" ht="12" customHeight="1">
      <c r="A59" s="276"/>
      <c r="B59" s="281">
        <f>AVG!A39</f>
        <v>0</v>
      </c>
      <c r="C59" s="214"/>
      <c r="D59" s="288">
        <v>0</v>
      </c>
      <c r="E59" s="214"/>
      <c r="F59" s="214"/>
      <c r="G59" s="214"/>
      <c r="H59" s="214" t="s">
        <v>771</v>
      </c>
      <c r="I59" s="280" t="s">
        <v>847</v>
      </c>
      <c r="J59" s="280" t="s">
        <v>848</v>
      </c>
      <c r="K59" s="214"/>
    </row>
    <row r="60" spans="1:11" ht="12" customHeight="1">
      <c r="A60" s="276"/>
      <c r="B60" s="276"/>
      <c r="C60" s="214"/>
      <c r="D60" s="276"/>
      <c r="E60" s="214"/>
      <c r="F60" s="249"/>
      <c r="G60" s="261" t="s">
        <v>859</v>
      </c>
      <c r="H60" s="249">
        <f>ROUND(D59+B59,2)</f>
        <v>0</v>
      </c>
      <c r="I60" s="289">
        <v>0.05</v>
      </c>
      <c r="J60" s="256">
        <f>ROUND(H60*I60,3)</f>
        <v>0</v>
      </c>
      <c r="K60" s="214"/>
    </row>
    <row r="61" spans="1:11" ht="12" customHeight="1">
      <c r="A61" s="290"/>
      <c r="B61" s="214"/>
      <c r="C61" s="214"/>
      <c r="D61" s="214"/>
      <c r="E61" s="214"/>
      <c r="F61" s="214"/>
      <c r="G61" s="214"/>
      <c r="H61" s="214"/>
      <c r="I61" s="214"/>
      <c r="J61" s="215"/>
      <c r="K61" s="214"/>
    </row>
    <row r="62" spans="1:11" s="234" customFormat="1" ht="12.6">
      <c r="A62" s="291" t="s">
        <v>860</v>
      </c>
      <c r="B62" s="233"/>
      <c r="C62" s="233"/>
      <c r="D62" s="233"/>
      <c r="E62" s="233"/>
      <c r="F62" s="233"/>
      <c r="G62" s="292"/>
      <c r="H62" s="293"/>
      <c r="I62" s="233"/>
      <c r="J62" s="215"/>
      <c r="K62" s="233"/>
    </row>
    <row r="63" spans="1:11">
      <c r="A63" s="294" t="s">
        <v>800</v>
      </c>
      <c r="B63" s="280" t="s">
        <v>857</v>
      </c>
      <c r="C63" s="280" t="s">
        <v>820</v>
      </c>
      <c r="D63" s="392" t="s">
        <v>861</v>
      </c>
      <c r="E63" s="280" t="s">
        <v>820</v>
      </c>
      <c r="F63" s="214"/>
      <c r="G63" s="214"/>
      <c r="H63" s="214"/>
      <c r="I63" s="214"/>
      <c r="J63" s="215"/>
      <c r="K63" s="214"/>
    </row>
    <row r="64" spans="1:11" ht="12" customHeight="1">
      <c r="A64" s="295">
        <v>1</v>
      </c>
      <c r="B64" s="296"/>
      <c r="C64" s="297"/>
      <c r="D64" s="296"/>
      <c r="E64" s="297">
        <f>ROUND(D64/6,2)</f>
        <v>0</v>
      </c>
      <c r="F64" s="214"/>
      <c r="G64" s="214"/>
      <c r="H64" s="249"/>
      <c r="I64" s="214"/>
      <c r="J64" s="215"/>
      <c r="K64" s="214"/>
    </row>
    <row r="65" spans="1:11" ht="12" customHeight="1">
      <c r="A65" s="295">
        <v>2</v>
      </c>
      <c r="B65" s="296"/>
      <c r="C65" s="297"/>
      <c r="D65" s="296"/>
      <c r="E65" s="297">
        <f>ROUND(D65/3,2)</f>
        <v>0</v>
      </c>
      <c r="F65" s="214"/>
      <c r="G65" s="283"/>
      <c r="H65" s="249"/>
      <c r="I65" s="214"/>
      <c r="J65" s="215"/>
      <c r="K65" s="214"/>
    </row>
    <row r="66" spans="1:11" ht="12" customHeight="1">
      <c r="A66" s="295">
        <v>3</v>
      </c>
      <c r="B66" s="298"/>
      <c r="C66" s="299"/>
      <c r="D66" s="298"/>
      <c r="E66" s="299">
        <f>ROUND(D66/2,2)</f>
        <v>0</v>
      </c>
      <c r="F66" s="214"/>
      <c r="G66" s="283"/>
      <c r="H66" s="214" t="s">
        <v>771</v>
      </c>
      <c r="I66" s="280" t="s">
        <v>847</v>
      </c>
      <c r="J66" s="280" t="s">
        <v>848</v>
      </c>
      <c r="K66" s="214"/>
    </row>
    <row r="67" spans="1:11" ht="12" customHeight="1">
      <c r="A67" s="261" t="s">
        <v>804</v>
      </c>
      <c r="B67" s="281">
        <f>AVG!G37</f>
        <v>0</v>
      </c>
      <c r="C67" s="281">
        <f>AVG!H37</f>
        <v>0</v>
      </c>
      <c r="D67" s="415">
        <v>0</v>
      </c>
      <c r="E67" s="297">
        <f>ROUND(D67/3,2)</f>
        <v>0</v>
      </c>
      <c r="F67" s="214"/>
      <c r="G67" s="261" t="s">
        <v>862</v>
      </c>
      <c r="H67" s="249">
        <f>ROUND(E67+C67,2)</f>
        <v>0</v>
      </c>
      <c r="I67" s="300">
        <v>0.5</v>
      </c>
      <c r="J67" s="271">
        <f>ROUND(H67*I67,3)</f>
        <v>0</v>
      </c>
      <c r="K67" s="214"/>
    </row>
    <row r="68" spans="1:11" ht="12" customHeight="1">
      <c r="A68" s="276" t="s">
        <v>863</v>
      </c>
      <c r="B68" s="214"/>
      <c r="C68" s="214"/>
      <c r="D68" s="214"/>
      <c r="E68" s="214"/>
      <c r="F68" s="214"/>
      <c r="G68" s="214"/>
      <c r="H68" s="214"/>
      <c r="I68" s="214"/>
      <c r="J68" s="215"/>
      <c r="K68" s="214"/>
    </row>
    <row r="69" spans="1:11" ht="12" customHeight="1">
      <c r="A69" s="290"/>
      <c r="B69" s="214"/>
      <c r="C69" s="214"/>
      <c r="D69" s="214"/>
      <c r="E69" s="214"/>
      <c r="F69" s="214"/>
      <c r="G69" s="214"/>
      <c r="H69" s="214"/>
      <c r="I69" s="214"/>
      <c r="J69" s="215"/>
      <c r="K69" s="214"/>
    </row>
    <row r="70" spans="1:11" ht="12" customHeight="1">
      <c r="A70" s="251" t="s">
        <v>864</v>
      </c>
      <c r="B70" s="214"/>
      <c r="C70" s="214"/>
      <c r="D70" s="214"/>
      <c r="E70" s="214"/>
      <c r="F70" s="214"/>
      <c r="G70" s="214"/>
      <c r="H70" s="214"/>
      <c r="I70" s="214"/>
      <c r="J70" s="215"/>
      <c r="K70" s="214"/>
    </row>
    <row r="71" spans="1:11" ht="12" customHeight="1">
      <c r="A71" s="276"/>
      <c r="B71" s="287" t="s">
        <v>865</v>
      </c>
      <c r="C71" s="214"/>
      <c r="D71" s="287" t="s">
        <v>866</v>
      </c>
      <c r="E71" s="214"/>
      <c r="F71" s="214"/>
      <c r="G71" s="214"/>
      <c r="H71" s="214"/>
      <c r="I71" s="280" t="s">
        <v>847</v>
      </c>
      <c r="J71" s="280" t="s">
        <v>848</v>
      </c>
      <c r="K71" s="214"/>
    </row>
    <row r="72" spans="1:11">
      <c r="A72" s="276"/>
      <c r="B72" s="301" t="s">
        <v>963</v>
      </c>
      <c r="C72" s="214"/>
      <c r="D72" s="302" t="e">
        <f>INDEX(PED_DATA_ONLY!$K$3:$K$203,MATCH('Estimated SEG FY22'!$J$3,PED_DATA_ONLY!$E$3:$E$202,0))</f>
        <v>#N/A</v>
      </c>
      <c r="E72" s="249"/>
      <c r="F72" s="214"/>
      <c r="G72" s="261" t="s">
        <v>867</v>
      </c>
      <c r="H72" s="214"/>
      <c r="I72" s="303">
        <v>0.06</v>
      </c>
      <c r="J72" s="304" t="e">
        <f>ROUND(D72*I72,3)</f>
        <v>#N/A</v>
      </c>
      <c r="K72" s="214"/>
    </row>
    <row r="73" spans="1:11" ht="31.35" customHeight="1">
      <c r="A73" s="455" t="s">
        <v>968</v>
      </c>
      <c r="B73" s="455"/>
      <c r="C73" s="455"/>
      <c r="D73" s="455"/>
      <c r="E73" s="455"/>
      <c r="F73" s="214"/>
      <c r="G73" s="247"/>
      <c r="H73" s="214"/>
      <c r="I73" s="214"/>
      <c r="J73" s="215"/>
      <c r="K73" s="214"/>
    </row>
    <row r="74" spans="1:11">
      <c r="A74" s="290"/>
      <c r="B74" s="305"/>
      <c r="C74" s="214"/>
      <c r="D74" s="214"/>
      <c r="E74" s="214"/>
      <c r="F74" s="214"/>
      <c r="G74" s="247"/>
      <c r="H74" s="214"/>
      <c r="I74" s="214"/>
      <c r="J74" s="215"/>
      <c r="K74" s="214"/>
    </row>
    <row r="75" spans="1:11" ht="12.6">
      <c r="A75" s="252" t="s">
        <v>868</v>
      </c>
      <c r="B75" s="214"/>
      <c r="C75" s="214"/>
      <c r="D75" s="280" t="s">
        <v>869</v>
      </c>
      <c r="E75" s="214"/>
      <c r="F75" s="214"/>
      <c r="G75" s="214"/>
      <c r="H75" s="214"/>
      <c r="I75" s="280" t="s">
        <v>847</v>
      </c>
      <c r="J75" s="280" t="s">
        <v>848</v>
      </c>
      <c r="K75" s="214"/>
    </row>
    <row r="76" spans="1:11">
      <c r="A76" s="214"/>
      <c r="B76" s="214"/>
      <c r="C76" s="214"/>
      <c r="D76" s="288">
        <f>IFERROR(INDEX(PED_DATA_ONLY!$AI$3:$AI$200,MATCH('Estimated SEG FY22'!$J$3,PED_DATA_ONLY!$AG$3:$AG$200,0)),0)</f>
        <v>0</v>
      </c>
      <c r="E76" s="214"/>
      <c r="F76" s="214"/>
      <c r="G76" s="261" t="s">
        <v>870</v>
      </c>
      <c r="H76" s="214"/>
      <c r="I76" s="303">
        <v>1.5</v>
      </c>
      <c r="J76" s="271">
        <f>ROUND(D76*I76,3)</f>
        <v>0</v>
      </c>
      <c r="K76" s="214"/>
    </row>
    <row r="77" spans="1:11">
      <c r="A77" s="214"/>
      <c r="B77" s="214"/>
      <c r="C77" s="297"/>
      <c r="D77" s="214"/>
      <c r="E77" s="214"/>
      <c r="F77" s="214"/>
      <c r="G77" s="214"/>
      <c r="H77" s="214"/>
      <c r="I77" s="214"/>
      <c r="J77" s="214"/>
      <c r="K77" s="214"/>
    </row>
    <row r="78" spans="1:11" ht="12" customHeight="1">
      <c r="A78" s="243" t="s">
        <v>871</v>
      </c>
      <c r="B78" s="214"/>
      <c r="C78" s="214"/>
      <c r="D78" s="214"/>
      <c r="E78" s="214"/>
      <c r="F78" s="214" t="s">
        <v>794</v>
      </c>
      <c r="G78" s="247" t="s">
        <v>794</v>
      </c>
      <c r="H78" s="214"/>
      <c r="I78" s="247" t="s">
        <v>872</v>
      </c>
      <c r="J78" s="280" t="s">
        <v>822</v>
      </c>
      <c r="K78" s="214"/>
    </row>
    <row r="79" spans="1:11" ht="12" customHeight="1">
      <c r="A79" s="214"/>
      <c r="B79" s="214"/>
      <c r="C79" s="214"/>
      <c r="D79" s="214"/>
      <c r="E79" s="214"/>
      <c r="F79" s="305"/>
      <c r="G79" s="247" t="s">
        <v>873</v>
      </c>
      <c r="H79" s="214"/>
      <c r="I79" s="306">
        <v>0.4</v>
      </c>
      <c r="J79" s="307">
        <f>AVG!I77</f>
        <v>0</v>
      </c>
      <c r="K79" s="214"/>
    </row>
    <row r="80" spans="1:11" ht="12" customHeight="1">
      <c r="A80" s="214"/>
      <c r="B80" s="214"/>
      <c r="C80" s="214"/>
      <c r="D80" s="214"/>
      <c r="E80" s="214" t="s">
        <v>794</v>
      </c>
      <c r="F80" s="305"/>
      <c r="G80" s="247" t="s">
        <v>874</v>
      </c>
      <c r="H80" s="214"/>
      <c r="I80" s="214"/>
      <c r="J80" s="307">
        <f>AVG!I90</f>
        <v>0</v>
      </c>
      <c r="K80" s="214"/>
    </row>
    <row r="81" spans="1:11" ht="12" customHeight="1">
      <c r="A81" s="214"/>
      <c r="B81" s="247"/>
      <c r="C81" s="247" t="s">
        <v>875</v>
      </c>
      <c r="D81" s="288">
        <v>0</v>
      </c>
      <c r="E81" s="214"/>
      <c r="F81" s="305"/>
      <c r="G81" s="308" t="s">
        <v>876</v>
      </c>
      <c r="H81" s="214"/>
      <c r="I81" s="214"/>
      <c r="J81" s="271">
        <f>IF(D81&gt;=2000,ROUND(SUM(J79:J80)*I79,3),ROUND(SUM(J79:J80),3))</f>
        <v>0</v>
      </c>
      <c r="K81" s="214"/>
    </row>
    <row r="82" spans="1:11" ht="12" customHeight="1">
      <c r="A82" s="214"/>
      <c r="B82" s="247"/>
      <c r="C82" s="283"/>
      <c r="D82" s="214"/>
      <c r="E82" s="214"/>
      <c r="F82" s="305"/>
      <c r="G82" s="214"/>
      <c r="H82" s="309"/>
      <c r="I82" s="214"/>
      <c r="J82" s="215"/>
      <c r="K82" s="214"/>
    </row>
    <row r="83" spans="1:11" s="313" customFormat="1" ht="12" customHeight="1">
      <c r="A83" s="214"/>
      <c r="B83" s="305"/>
      <c r="C83" s="247"/>
      <c r="D83" s="310"/>
      <c r="E83" s="214"/>
      <c r="F83" s="214"/>
      <c r="G83" s="261" t="s">
        <v>877</v>
      </c>
      <c r="H83" s="305"/>
      <c r="I83" s="311"/>
      <c r="J83" s="312">
        <f>IF(AND(H35&gt;0,H35&lt;4000),ROUND(((4000-H35)/4000)*(0.15*H35),3),0)</f>
        <v>0</v>
      </c>
      <c r="K83" s="305"/>
    </row>
    <row r="84" spans="1:11" ht="12" customHeight="1">
      <c r="A84" s="305"/>
      <c r="B84" s="314" t="s">
        <v>794</v>
      </c>
      <c r="C84" s="315" t="s">
        <v>794</v>
      </c>
      <c r="D84" s="305"/>
      <c r="E84" s="305"/>
      <c r="F84" s="305"/>
      <c r="G84" s="316" t="e">
        <f>IF($C$7="N"," ","Charter Schools not eligible for District Size")</f>
        <v>#N/A</v>
      </c>
      <c r="H84" s="214"/>
      <c r="I84" s="215"/>
      <c r="J84" s="317" t="e">
        <f>IF(C7="N",0,-J83)</f>
        <v>#N/A</v>
      </c>
      <c r="K84" s="214"/>
    </row>
    <row r="85" spans="1:11" ht="12" customHeight="1">
      <c r="A85" s="214"/>
      <c r="B85" s="247"/>
      <c r="C85" s="318"/>
      <c r="D85" s="214"/>
      <c r="E85" s="214"/>
      <c r="F85" s="214"/>
      <c r="G85" s="247"/>
      <c r="H85" s="319"/>
      <c r="I85" s="215"/>
      <c r="J85" s="215"/>
      <c r="K85" s="214"/>
    </row>
    <row r="86" spans="1:11" ht="12" customHeight="1">
      <c r="A86" s="214"/>
      <c r="B86" s="214"/>
      <c r="C86" s="314"/>
      <c r="D86" s="315"/>
      <c r="E86" s="214"/>
      <c r="F86" s="214"/>
      <c r="G86" s="308" t="s">
        <v>878</v>
      </c>
      <c r="H86" s="214"/>
      <c r="I86" s="215"/>
      <c r="J86" s="320">
        <f>IF(AND(H35&lt;200,H35&gt;0),ROUND(200-H35,3),0)</f>
        <v>0</v>
      </c>
      <c r="K86" s="214"/>
    </row>
    <row r="87" spans="1:11" ht="12" customHeight="1">
      <c r="A87" s="214"/>
      <c r="B87" s="214"/>
      <c r="C87" s="247"/>
      <c r="D87" s="318"/>
      <c r="E87" s="214"/>
      <c r="F87" s="214"/>
      <c r="G87" s="321" t="e">
        <f>IF($C$7="N"," ","Charter Schools not eligible for District Size")</f>
        <v>#N/A</v>
      </c>
      <c r="H87" s="214"/>
      <c r="I87" s="215"/>
      <c r="J87" s="317" t="e">
        <f>IF(C7="N",0,-J86)</f>
        <v>#N/A</v>
      </c>
      <c r="K87" s="214"/>
    </row>
    <row r="88" spans="1:11" ht="12" customHeight="1">
      <c r="A88" s="214"/>
      <c r="B88" s="214"/>
      <c r="C88" s="247"/>
      <c r="D88" s="318"/>
      <c r="E88" s="214"/>
      <c r="F88" s="214"/>
      <c r="G88" s="247"/>
      <c r="H88" s="319"/>
      <c r="I88" s="215"/>
      <c r="J88" s="215"/>
      <c r="K88" s="214"/>
    </row>
    <row r="89" spans="1:11" ht="12" customHeight="1">
      <c r="A89" s="214"/>
      <c r="B89" s="214"/>
      <c r="C89" s="247"/>
      <c r="D89" s="322"/>
      <c r="E89" s="323"/>
      <c r="F89" s="214"/>
      <c r="G89" s="261"/>
      <c r="H89" s="214"/>
      <c r="I89" s="215"/>
      <c r="J89" s="312"/>
      <c r="K89" s="214"/>
    </row>
    <row r="90" spans="1:11" ht="12" customHeight="1">
      <c r="A90" s="243" t="s">
        <v>879</v>
      </c>
      <c r="B90" s="214"/>
      <c r="C90" s="214"/>
      <c r="D90" s="214" t="s">
        <v>880</v>
      </c>
      <c r="E90" s="214"/>
      <c r="F90" s="214"/>
      <c r="G90" s="214"/>
      <c r="H90" s="214"/>
      <c r="I90" s="214"/>
      <c r="J90" s="215"/>
      <c r="K90" s="214"/>
    </row>
    <row r="91" spans="1:11" ht="12" customHeight="1">
      <c r="A91" s="324" t="s">
        <v>881</v>
      </c>
      <c r="B91" s="214"/>
      <c r="C91" s="214"/>
      <c r="D91" s="325" t="s">
        <v>882</v>
      </c>
      <c r="E91" s="215" t="s">
        <v>883</v>
      </c>
      <c r="F91" s="214"/>
      <c r="G91" s="214"/>
      <c r="H91" s="214"/>
      <c r="I91" s="314" t="s">
        <v>884</v>
      </c>
      <c r="J91" s="294" t="s">
        <v>822</v>
      </c>
      <c r="K91" s="214"/>
    </row>
    <row r="92" spans="1:11" ht="12" customHeight="1">
      <c r="A92" s="324"/>
      <c r="B92" s="247" t="s">
        <v>885</v>
      </c>
      <c r="C92" s="214"/>
      <c r="D92" s="326">
        <v>0.09</v>
      </c>
      <c r="E92" s="327" t="e">
        <f>IF(I92&gt;0.4,"Y","N")</f>
        <v>#N/A</v>
      </c>
      <c r="F92" s="214"/>
      <c r="G92" s="261" t="s">
        <v>886</v>
      </c>
      <c r="H92" s="328"/>
      <c r="I92" s="329" t="e">
        <f>ROUND(INDEX(PED_DATA_ONLY!$J$3:$J$202,MATCH('Estimated SEG FY22'!$C$3,PED_DATA_ONLY!$B$3:$B$202,0)),3)</f>
        <v>#N/A</v>
      </c>
      <c r="J92" s="271" t="e">
        <f>IF(AND(E92="Y",C93="N"),ROUND((H33*I92)*D92,3),IF(AND(E92="Y",C93="N"),ROUND((H33*I92)*D92,3),0))</f>
        <v>#N/A</v>
      </c>
      <c r="K92" s="214"/>
    </row>
    <row r="93" spans="1:11" ht="12" customHeight="1">
      <c r="A93" s="214"/>
      <c r="B93" s="330" t="s">
        <v>18</v>
      </c>
      <c r="C93" s="331" t="e">
        <f>INDEX(PED_DATA_ONLY!$AJ$3:$AJ$202,MATCH('Estimated SEG FY22'!$J$3,PED_DATA_ONLY!$AG$3:$AG$202,0))</f>
        <v>#N/A</v>
      </c>
      <c r="D93" s="305"/>
      <c r="E93" s="327"/>
      <c r="F93" s="327"/>
      <c r="G93" s="327"/>
      <c r="H93" s="215"/>
      <c r="I93" s="214"/>
      <c r="J93" s="215"/>
      <c r="K93" s="214"/>
    </row>
    <row r="94" spans="1:11">
      <c r="A94" s="214"/>
      <c r="B94" s="214"/>
      <c r="C94" s="214"/>
      <c r="D94" s="280"/>
      <c r="E94" s="214"/>
      <c r="F94" s="214"/>
      <c r="G94" s="261"/>
      <c r="H94" s="214"/>
      <c r="I94" s="214"/>
      <c r="J94" s="332"/>
      <c r="K94" s="214"/>
    </row>
    <row r="95" spans="1:11" s="246" customFormat="1" ht="12.6">
      <c r="A95" s="252" t="s">
        <v>887</v>
      </c>
      <c r="B95" s="215"/>
      <c r="C95" s="215"/>
      <c r="D95" s="280" t="s">
        <v>801</v>
      </c>
      <c r="E95" s="214"/>
      <c r="F95" s="214"/>
      <c r="G95" s="247"/>
      <c r="H95" s="277"/>
      <c r="I95" s="294" t="s">
        <v>888</v>
      </c>
      <c r="J95" s="280" t="s">
        <v>848</v>
      </c>
      <c r="K95" s="215"/>
    </row>
    <row r="96" spans="1:11" ht="11.4">
      <c r="A96" s="215"/>
      <c r="B96" s="214"/>
      <c r="C96" s="214"/>
      <c r="D96" s="333">
        <f>H33</f>
        <v>0</v>
      </c>
      <c r="E96" s="214"/>
      <c r="F96" s="214"/>
      <c r="G96" s="261" t="s">
        <v>889</v>
      </c>
      <c r="H96" s="214"/>
      <c r="I96" s="331">
        <v>0</v>
      </c>
      <c r="J96" s="332">
        <f>IF(D96&gt;0,ROUND(I96*D96,3),0)</f>
        <v>0</v>
      </c>
      <c r="K96" s="214"/>
    </row>
    <row r="97" spans="1:11">
      <c r="A97" s="214"/>
      <c r="B97" s="214"/>
      <c r="C97" s="214"/>
      <c r="D97" s="214"/>
      <c r="E97" s="214"/>
      <c r="F97" s="214"/>
      <c r="G97" s="214"/>
      <c r="H97" s="214"/>
      <c r="I97" s="215"/>
      <c r="J97" s="215"/>
      <c r="K97" s="214"/>
    </row>
    <row r="98" spans="1:11" ht="13.2" thickBot="1">
      <c r="A98" s="252" t="s">
        <v>890</v>
      </c>
      <c r="B98" s="214"/>
      <c r="C98" s="214"/>
      <c r="D98" s="214"/>
      <c r="E98" s="214"/>
      <c r="F98" s="214"/>
      <c r="G98" s="214"/>
      <c r="H98" s="214"/>
      <c r="I98" s="215"/>
      <c r="J98" s="215"/>
      <c r="K98" s="214"/>
    </row>
    <row r="99" spans="1:11" ht="12.6">
      <c r="A99" s="451" t="s">
        <v>891</v>
      </c>
      <c r="B99" s="452"/>
      <c r="C99" s="452"/>
      <c r="D99" s="453"/>
      <c r="E99" s="214"/>
      <c r="F99" s="214"/>
      <c r="G99" s="214"/>
      <c r="H99" s="214"/>
      <c r="I99" s="215"/>
      <c r="J99" s="215"/>
      <c r="K99" s="214"/>
    </row>
    <row r="100" spans="1:11">
      <c r="A100" s="334" t="s">
        <v>892</v>
      </c>
      <c r="B100" s="335"/>
      <c r="C100" s="260"/>
      <c r="D100" s="336">
        <f>IFERROR(INDEX(PED_DATA_ONLY!$AK$3:$AK$200,MATCH('Estimated SEG FY22'!$J$3,PED_DATA_ONLY!$AG$3:$AG$200,0)),0)</f>
        <v>0</v>
      </c>
      <c r="E100" s="214"/>
      <c r="F100" s="214"/>
      <c r="G100" s="214"/>
      <c r="H100" s="214"/>
      <c r="I100" s="215"/>
      <c r="J100" s="215"/>
      <c r="K100" s="214"/>
    </row>
    <row r="101" spans="1:11" ht="6.45" customHeight="1">
      <c r="A101" s="337"/>
      <c r="B101" s="260"/>
      <c r="C101" s="260"/>
      <c r="D101" s="338"/>
      <c r="E101" s="214"/>
      <c r="F101" s="214"/>
      <c r="G101" s="214"/>
      <c r="H101" s="214"/>
      <c r="I101" s="215"/>
      <c r="J101" s="215"/>
      <c r="K101" s="214"/>
    </row>
    <row r="102" spans="1:11">
      <c r="A102" s="334" t="s">
        <v>893</v>
      </c>
      <c r="B102" s="339"/>
      <c r="C102" s="260"/>
      <c r="D102" s="340">
        <v>0</v>
      </c>
      <c r="E102" s="214"/>
      <c r="F102" s="214"/>
      <c r="G102" s="214"/>
      <c r="H102" s="214"/>
      <c r="I102" s="215"/>
      <c r="J102" s="215"/>
      <c r="K102" s="214"/>
    </row>
    <row r="103" spans="1:11" ht="5.0999999999999996" customHeight="1">
      <c r="A103" s="337" t="s">
        <v>894</v>
      </c>
      <c r="B103" s="260"/>
      <c r="C103" s="260"/>
      <c r="D103" s="338"/>
      <c r="E103" s="214"/>
      <c r="F103" s="214"/>
      <c r="G103" s="214"/>
      <c r="H103" s="214"/>
      <c r="I103" s="215"/>
      <c r="J103" s="215"/>
      <c r="K103" s="214"/>
    </row>
    <row r="104" spans="1:11">
      <c r="A104" s="334" t="s">
        <v>895</v>
      </c>
      <c r="B104" s="260"/>
      <c r="C104" s="260"/>
      <c r="D104" s="340">
        <v>0</v>
      </c>
      <c r="E104" s="214"/>
      <c r="F104" s="214"/>
      <c r="G104" s="214"/>
      <c r="H104" s="214"/>
      <c r="I104" s="215"/>
      <c r="J104" s="280" t="s">
        <v>848</v>
      </c>
      <c r="K104" s="214"/>
    </row>
    <row r="105" spans="1:11">
      <c r="A105" s="337" t="s">
        <v>894</v>
      </c>
      <c r="B105" s="260"/>
      <c r="C105" s="260"/>
      <c r="D105" s="341"/>
      <c r="E105" s="214"/>
      <c r="F105" s="214"/>
      <c r="G105" s="261" t="s">
        <v>896</v>
      </c>
      <c r="H105" s="214"/>
      <c r="I105" s="215"/>
      <c r="J105" s="312">
        <f>IFERROR(IF(C$9="N",D107,D109),0)</f>
        <v>0</v>
      </c>
      <c r="K105" s="214"/>
    </row>
    <row r="106" spans="1:11" ht="12.6">
      <c r="A106" s="342" t="s">
        <v>897</v>
      </c>
      <c r="B106" s="260"/>
      <c r="C106" s="260"/>
      <c r="D106" s="338"/>
      <c r="E106" s="214"/>
      <c r="F106" s="214"/>
      <c r="G106" s="214"/>
      <c r="H106" s="214"/>
      <c r="I106" s="215"/>
      <c r="J106" s="215"/>
      <c r="K106" s="214"/>
    </row>
    <row r="107" spans="1:11">
      <c r="A107" s="343" t="s">
        <v>898</v>
      </c>
      <c r="B107" s="344"/>
      <c r="C107" s="344"/>
      <c r="D107" s="345">
        <f>IFERROR(IF(((D102-D100)/D100)&gt;=0.01,((((D102-D100)-(D102*0.01))*1.5)+((D102-D100)*0.5)),0),0)</f>
        <v>0</v>
      </c>
      <c r="E107" s="214"/>
      <c r="F107" s="214"/>
      <c r="G107" s="214"/>
      <c r="H107" s="214"/>
      <c r="I107" s="215"/>
      <c r="J107" s="215"/>
      <c r="K107" s="214"/>
    </row>
    <row r="108" spans="1:11">
      <c r="A108" s="346" t="s">
        <v>899</v>
      </c>
      <c r="B108" s="344"/>
      <c r="C108" s="260"/>
      <c r="D108" s="347"/>
      <c r="E108" s="214"/>
      <c r="F108" s="214"/>
      <c r="G108" s="214"/>
      <c r="H108" s="214"/>
      <c r="I108" s="215"/>
      <c r="J108" s="215"/>
      <c r="K108" s="214"/>
    </row>
    <row r="109" spans="1:11">
      <c r="A109" s="343" t="s">
        <v>900</v>
      </c>
      <c r="B109" s="344"/>
      <c r="C109" s="260"/>
      <c r="D109" s="345">
        <f>IFERROR(IF(((D104-D100)/D100)&gt;=0.01,(ROUND((((D104-D100)-(D104*0.01))*1.5),2)+ROUND(((D104-D100)*0.5),2)),0),0)</f>
        <v>0</v>
      </c>
      <c r="E109" s="214"/>
      <c r="F109" s="214"/>
      <c r="G109" s="214"/>
      <c r="H109" s="214"/>
      <c r="I109" s="215"/>
      <c r="J109" s="215"/>
      <c r="K109" s="214"/>
    </row>
    <row r="110" spans="1:11" ht="10.8" thickBot="1">
      <c r="A110" s="348" t="s">
        <v>901</v>
      </c>
      <c r="B110" s="349"/>
      <c r="C110" s="349"/>
      <c r="D110" s="350"/>
      <c r="E110" s="214"/>
      <c r="F110" s="214"/>
      <c r="G110" s="214"/>
      <c r="H110" s="214"/>
      <c r="I110" s="215"/>
      <c r="J110" s="215"/>
      <c r="K110" s="214"/>
    </row>
    <row r="111" spans="1:11" ht="12.6">
      <c r="A111" s="252"/>
      <c r="B111" s="214"/>
      <c r="C111" s="214"/>
      <c r="D111" s="214"/>
      <c r="E111" s="214"/>
      <c r="F111" s="214"/>
      <c r="G111" s="214"/>
      <c r="H111" s="214"/>
      <c r="I111" s="215"/>
      <c r="J111" s="215"/>
      <c r="K111" s="214"/>
    </row>
    <row r="112" spans="1:11" ht="12.6">
      <c r="A112" s="252" t="s">
        <v>806</v>
      </c>
      <c r="B112" s="214"/>
      <c r="C112" s="214"/>
      <c r="D112" s="214"/>
      <c r="E112" s="214"/>
      <c r="F112" s="214"/>
      <c r="G112" s="214"/>
      <c r="H112" s="214"/>
      <c r="I112" s="214"/>
      <c r="J112" s="215"/>
      <c r="K112" s="214"/>
    </row>
    <row r="113" spans="1:11">
      <c r="A113" s="351" t="s">
        <v>902</v>
      </c>
      <c r="B113" s="280" t="s">
        <v>801</v>
      </c>
      <c r="C113" s="214"/>
      <c r="D113" s="214"/>
      <c r="E113" s="323"/>
      <c r="F113" s="214"/>
      <c r="G113" s="316"/>
      <c r="H113" s="319"/>
      <c r="I113" s="280" t="s">
        <v>847</v>
      </c>
      <c r="J113" s="280" t="s">
        <v>848</v>
      </c>
      <c r="K113" s="214"/>
    </row>
    <row r="114" spans="1:11">
      <c r="A114" s="214"/>
      <c r="B114" s="281">
        <f>AVG!C44</f>
        <v>0</v>
      </c>
      <c r="C114" s="214"/>
      <c r="D114" s="214"/>
      <c r="E114" s="323"/>
      <c r="F114" s="214"/>
      <c r="G114" s="261" t="s">
        <v>903</v>
      </c>
      <c r="H114" s="214"/>
      <c r="I114" s="303">
        <v>0.1</v>
      </c>
      <c r="J114" s="317">
        <f>ROUND(B114*I114,3)</f>
        <v>0</v>
      </c>
      <c r="K114" s="214"/>
    </row>
    <row r="115" spans="1:11" ht="12" customHeight="1">
      <c r="A115" s="214"/>
      <c r="B115" s="305"/>
      <c r="C115" s="214"/>
      <c r="D115" s="303"/>
      <c r="E115" s="323"/>
      <c r="F115" s="214"/>
      <c r="G115" s="316" t="e">
        <f>IF($C$7="N"," ","(Charters not eligible for CS Student Activities)")</f>
        <v>#N/A</v>
      </c>
      <c r="H115" s="214"/>
      <c r="I115" s="214"/>
      <c r="J115" s="312" t="e">
        <f>IF(C$7="Y", -J114,0)</f>
        <v>#N/A</v>
      </c>
      <c r="K115" s="214"/>
    </row>
    <row r="116" spans="1:11" ht="12" customHeight="1">
      <c r="A116" s="252" t="s">
        <v>807</v>
      </c>
      <c r="B116" s="214"/>
      <c r="C116" s="214"/>
      <c r="D116" s="214"/>
      <c r="E116" s="323"/>
      <c r="F116" s="214"/>
      <c r="G116" s="214"/>
      <c r="H116" s="214"/>
      <c r="I116" s="214"/>
      <c r="J116" s="215"/>
      <c r="K116" s="214"/>
    </row>
    <row r="117" spans="1:11" ht="12" customHeight="1">
      <c r="A117" s="351" t="s">
        <v>902</v>
      </c>
      <c r="B117" s="352" t="s">
        <v>801</v>
      </c>
      <c r="C117" s="260"/>
      <c r="D117" s="214"/>
      <c r="E117" s="323"/>
      <c r="F117" s="214"/>
      <c r="G117" s="316"/>
      <c r="H117" s="319"/>
      <c r="I117" s="352" t="s">
        <v>847</v>
      </c>
      <c r="J117" s="280" t="s">
        <v>848</v>
      </c>
      <c r="K117" s="214"/>
    </row>
    <row r="118" spans="1:11" ht="12" customHeight="1">
      <c r="A118" s="247"/>
      <c r="B118" s="281">
        <f>AVG!G44</f>
        <v>0</v>
      </c>
      <c r="C118" s="260"/>
      <c r="D118" s="214"/>
      <c r="E118" s="323"/>
      <c r="F118" s="214"/>
      <c r="G118" s="261" t="s">
        <v>904</v>
      </c>
      <c r="H118" s="214"/>
      <c r="I118" s="353">
        <v>0.1</v>
      </c>
      <c r="J118" s="317">
        <f>ROUND(B118*I118,3)</f>
        <v>0</v>
      </c>
      <c r="K118" s="214"/>
    </row>
    <row r="119" spans="1:11" ht="12" customHeight="1">
      <c r="A119" s="214"/>
      <c r="B119" s="214"/>
      <c r="C119" s="214"/>
      <c r="D119" s="214"/>
      <c r="E119" s="323"/>
      <c r="F119" s="214"/>
      <c r="G119" s="316" t="e">
        <f>IF($C$7="N"," ","(Charters not eligible for Home School Student Activities)")</f>
        <v>#N/A</v>
      </c>
      <c r="H119" s="214"/>
      <c r="I119" s="214"/>
      <c r="J119" s="312" t="e">
        <f>IF(C$7="Y", -J118,0)</f>
        <v>#N/A</v>
      </c>
      <c r="K119" s="214"/>
    </row>
    <row r="120" spans="1:11" ht="12" customHeight="1">
      <c r="A120" s="214"/>
      <c r="B120" s="214"/>
      <c r="C120" s="214"/>
      <c r="D120" s="214"/>
      <c r="E120" s="323"/>
      <c r="F120" s="214"/>
      <c r="G120" s="316"/>
      <c r="H120" s="318"/>
      <c r="I120" s="214"/>
      <c r="J120" s="215"/>
      <c r="K120" s="214"/>
    </row>
    <row r="121" spans="1:11" ht="12" customHeight="1">
      <c r="A121" s="354" t="s">
        <v>905</v>
      </c>
      <c r="B121" s="305"/>
      <c r="C121" s="305"/>
      <c r="D121" s="305"/>
      <c r="E121" s="355"/>
      <c r="F121" s="305"/>
      <c r="G121" s="305"/>
      <c r="H121" s="305"/>
      <c r="I121" s="214"/>
      <c r="J121" s="215"/>
      <c r="K121" s="214"/>
    </row>
    <row r="122" spans="1:11" ht="12" customHeight="1">
      <c r="A122" s="356" t="s">
        <v>902</v>
      </c>
      <c r="B122" s="357" t="s">
        <v>809</v>
      </c>
      <c r="C122" s="357" t="s">
        <v>810</v>
      </c>
      <c r="D122" s="214"/>
      <c r="E122" s="355"/>
      <c r="F122" s="305"/>
      <c r="G122" s="214"/>
      <c r="H122" s="214"/>
      <c r="I122" s="357" t="s">
        <v>847</v>
      </c>
      <c r="J122" s="280" t="s">
        <v>848</v>
      </c>
      <c r="K122" s="214"/>
    </row>
    <row r="123" spans="1:11" ht="12" customHeight="1">
      <c r="A123" s="314"/>
      <c r="B123" s="281">
        <f>AVG!C48</f>
        <v>0</v>
      </c>
      <c r="C123" s="281">
        <f>AVG!D48</f>
        <v>0</v>
      </c>
      <c r="D123" s="214"/>
      <c r="E123" s="355"/>
      <c r="F123" s="305"/>
      <c r="G123" s="308" t="s">
        <v>906</v>
      </c>
      <c r="H123" s="358"/>
      <c r="I123" s="359">
        <v>0.25</v>
      </c>
      <c r="J123" s="360" t="e">
        <f>IF(C7="Y",0,IF(B123=0,0,ROUND((B123)*(C123/B123)*$I$123,3)))</f>
        <v>#N/A</v>
      </c>
      <c r="K123" s="214"/>
    </row>
    <row r="124" spans="1:11" ht="12" customHeight="1">
      <c r="A124" s="314"/>
      <c r="B124" s="361"/>
      <c r="C124" s="361"/>
      <c r="D124" s="214"/>
      <c r="E124" s="355"/>
      <c r="F124" s="305"/>
      <c r="G124" s="308"/>
      <c r="H124" s="358"/>
      <c r="I124" s="359"/>
      <c r="J124" s="360"/>
      <c r="K124" s="214"/>
    </row>
    <row r="125" spans="1:11" ht="12" customHeight="1">
      <c r="A125" s="354" t="s">
        <v>907</v>
      </c>
      <c r="B125" s="361"/>
      <c r="C125" s="361"/>
      <c r="D125" s="214"/>
      <c r="E125" s="355"/>
      <c r="F125" s="305"/>
      <c r="G125" s="308"/>
      <c r="H125" s="358"/>
      <c r="I125" s="359"/>
      <c r="J125" s="360"/>
      <c r="K125" s="214"/>
    </row>
    <row r="126" spans="1:11" ht="12" customHeight="1">
      <c r="A126" s="324" t="s">
        <v>908</v>
      </c>
      <c r="B126" s="361"/>
      <c r="C126" s="361"/>
      <c r="D126" s="214"/>
      <c r="E126" s="214" t="s">
        <v>909</v>
      </c>
      <c r="F126" s="288" t="s">
        <v>910</v>
      </c>
      <c r="G126" s="308"/>
      <c r="H126" s="358" t="s">
        <v>911</v>
      </c>
      <c r="I126" s="357" t="s">
        <v>847</v>
      </c>
      <c r="J126" s="280" t="s">
        <v>848</v>
      </c>
      <c r="K126" s="214"/>
    </row>
    <row r="127" spans="1:11" ht="12" customHeight="1">
      <c r="A127" s="314"/>
      <c r="B127" s="361"/>
      <c r="C127" s="361"/>
      <c r="D127" s="214"/>
      <c r="E127" s="355"/>
      <c r="F127" s="305"/>
      <c r="G127" s="308"/>
      <c r="H127" s="358"/>
      <c r="I127" s="359"/>
      <c r="J127" s="360"/>
      <c r="K127" s="214"/>
    </row>
    <row r="128" spans="1:11" ht="12" customHeight="1">
      <c r="A128" s="324" t="s">
        <v>912</v>
      </c>
      <c r="B128" s="361"/>
      <c r="C128" s="361"/>
      <c r="D128" s="214"/>
      <c r="E128" s="214" t="s">
        <v>913</v>
      </c>
      <c r="F128" s="305"/>
      <c r="G128" s="308"/>
      <c r="H128" s="288">
        <v>0</v>
      </c>
      <c r="I128" s="359">
        <v>0.14699999999999999</v>
      </c>
      <c r="J128" s="360">
        <f>ROUND(I128*H128,3)</f>
        <v>0</v>
      </c>
      <c r="K128" s="214"/>
    </row>
    <row r="129" spans="1:11" ht="12" customHeight="1">
      <c r="A129" s="314"/>
      <c r="B129" s="361"/>
      <c r="C129" s="361"/>
      <c r="D129" s="214"/>
      <c r="E129" s="355"/>
      <c r="F129" s="305"/>
      <c r="G129" s="308"/>
      <c r="H129" s="358"/>
      <c r="I129" s="359"/>
      <c r="J129" s="360"/>
      <c r="K129" s="214"/>
    </row>
    <row r="130" spans="1:11" ht="12" customHeight="1">
      <c r="A130" s="324" t="s">
        <v>914</v>
      </c>
      <c r="B130" s="361"/>
      <c r="C130" s="361"/>
      <c r="D130" s="214"/>
      <c r="E130" s="286" t="s">
        <v>915</v>
      </c>
      <c r="F130" s="305"/>
      <c r="G130" s="308"/>
      <c r="H130" s="288">
        <v>0</v>
      </c>
      <c r="I130" s="359">
        <v>0.17</v>
      </c>
      <c r="J130" s="360">
        <f>ROUND(I130*H130,3)</f>
        <v>0</v>
      </c>
      <c r="K130" s="214"/>
    </row>
    <row r="131" spans="1:11" ht="12" customHeight="1">
      <c r="A131" s="314"/>
      <c r="B131" s="361"/>
      <c r="C131" s="361"/>
      <c r="D131" s="214"/>
      <c r="E131" s="355"/>
      <c r="F131" s="305"/>
      <c r="G131" s="308"/>
      <c r="H131" s="358"/>
      <c r="I131" s="359"/>
      <c r="J131" s="360"/>
      <c r="K131" s="214"/>
    </row>
    <row r="132" spans="1:11" ht="12" customHeight="1">
      <c r="A132" s="214"/>
      <c r="B132" s="214"/>
      <c r="C132" s="214"/>
      <c r="D132" s="214"/>
      <c r="E132" s="214"/>
      <c r="F132" s="214"/>
      <c r="G132" s="265" t="s">
        <v>916</v>
      </c>
      <c r="H132" s="214"/>
      <c r="I132" s="214"/>
      <c r="J132" s="332" t="e">
        <f>ROUND(J46+J55+J67+J72+J76+J60+J81+J83+J84+J86+J87+J92+J96+J105+J114+J115+J118+J119+J123+J128+J130,3)</f>
        <v>#N/A</v>
      </c>
      <c r="K132" s="214"/>
    </row>
    <row r="133" spans="1:11" ht="12" customHeight="1" thickBot="1">
      <c r="A133" s="214"/>
      <c r="B133" s="214"/>
      <c r="C133" s="214"/>
      <c r="D133" s="214"/>
      <c r="E133" s="214"/>
      <c r="F133" s="214"/>
      <c r="G133" s="265"/>
      <c r="H133" s="214"/>
      <c r="I133" s="215"/>
      <c r="J133" s="215"/>
      <c r="K133" s="214"/>
    </row>
    <row r="134" spans="1:11" ht="12" customHeight="1">
      <c r="A134" s="362" t="s">
        <v>917</v>
      </c>
      <c r="B134" s="363"/>
      <c r="C134" s="218"/>
      <c r="D134" s="364"/>
      <c r="E134" s="214"/>
      <c r="F134" s="214"/>
      <c r="G134" s="265"/>
      <c r="H134" s="214"/>
      <c r="I134" s="215"/>
      <c r="J134" s="280" t="s">
        <v>848</v>
      </c>
      <c r="K134" s="214"/>
    </row>
    <row r="135" spans="1:11" ht="12" customHeight="1" thickBot="1">
      <c r="A135" s="348" t="s">
        <v>918</v>
      </c>
      <c r="B135" s="349"/>
      <c r="C135" s="349"/>
      <c r="D135" s="365">
        <v>0</v>
      </c>
      <c r="E135" s="214"/>
      <c r="F135" s="214"/>
      <c r="G135" s="261" t="s">
        <v>919</v>
      </c>
      <c r="H135" s="214"/>
      <c r="I135" s="214"/>
      <c r="J135" s="312" t="e">
        <f>IF(AND(H33&lt;=200,D135&gt;J132),ROUND(D135-J132,3),0)</f>
        <v>#N/A</v>
      </c>
      <c r="K135" s="214"/>
    </row>
    <row r="136" spans="1:11" ht="12" customHeight="1">
      <c r="A136" s="214"/>
      <c r="B136" s="214"/>
      <c r="C136" s="214"/>
      <c r="D136" s="214"/>
      <c r="E136" s="214"/>
      <c r="F136" s="214"/>
      <c r="G136" s="265"/>
      <c r="H136" s="366"/>
      <c r="I136" s="214"/>
      <c r="J136" s="215"/>
      <c r="K136" s="214"/>
    </row>
    <row r="137" spans="1:11" ht="12" customHeight="1">
      <c r="A137" s="214"/>
      <c r="B137" s="214"/>
      <c r="C137" s="214"/>
      <c r="D137" s="214"/>
      <c r="E137" s="214"/>
      <c r="F137" s="214"/>
      <c r="G137" s="265" t="s">
        <v>920</v>
      </c>
      <c r="H137" s="214"/>
      <c r="I137" s="214"/>
      <c r="J137" s="332" t="e">
        <f>ROUND(J132+J135,3)</f>
        <v>#N/A</v>
      </c>
      <c r="K137" s="214"/>
    </row>
    <row r="138" spans="1:11" ht="12" customHeight="1">
      <c r="A138" s="214"/>
      <c r="B138" s="214"/>
      <c r="C138" s="214"/>
      <c r="D138" s="214"/>
      <c r="E138" s="214"/>
      <c r="F138" s="214"/>
      <c r="G138" s="265"/>
      <c r="H138" s="214"/>
      <c r="I138" s="214"/>
      <c r="J138" s="332"/>
      <c r="K138" s="214"/>
    </row>
    <row r="139" spans="1:11" ht="12" customHeight="1">
      <c r="A139" s="251" t="s">
        <v>921</v>
      </c>
      <c r="B139" s="214"/>
      <c r="C139" s="214"/>
      <c r="D139" s="214"/>
      <c r="E139" s="323"/>
      <c r="F139" s="214"/>
      <c r="G139" s="316"/>
      <c r="H139" s="322"/>
      <c r="I139" s="214"/>
      <c r="J139" s="215"/>
      <c r="K139" s="214"/>
    </row>
    <row r="140" spans="1:11" ht="12" customHeight="1">
      <c r="A140" s="214"/>
      <c r="B140" s="280" t="s">
        <v>857</v>
      </c>
      <c r="C140" s="214"/>
      <c r="D140" s="287" t="s">
        <v>922</v>
      </c>
      <c r="E140" s="214"/>
      <c r="F140" s="214"/>
      <c r="G140" s="214"/>
      <c r="H140" s="214"/>
      <c r="I140" s="214"/>
      <c r="J140" s="214"/>
      <c r="K140" s="214"/>
    </row>
    <row r="141" spans="1:11" ht="12" customHeight="1">
      <c r="A141" s="214"/>
      <c r="B141" s="281">
        <f>AVG!A53</f>
        <v>0</v>
      </c>
      <c r="C141" s="214"/>
      <c r="D141" s="288">
        <v>0</v>
      </c>
      <c r="E141" s="214"/>
      <c r="F141" s="214"/>
      <c r="G141" s="214"/>
      <c r="H141" s="214" t="s">
        <v>771</v>
      </c>
      <c r="I141" s="352" t="s">
        <v>847</v>
      </c>
      <c r="J141" s="280" t="s">
        <v>848</v>
      </c>
      <c r="K141" s="214"/>
    </row>
    <row r="142" spans="1:11" ht="12" customHeight="1">
      <c r="A142" s="290"/>
      <c r="B142" s="214"/>
      <c r="C142" s="214"/>
      <c r="D142" s="214"/>
      <c r="E142" s="323"/>
      <c r="F142" s="214"/>
      <c r="G142" s="261" t="s">
        <v>923</v>
      </c>
      <c r="H142" s="414">
        <f>ROUND(D141+B141,2)</f>
        <v>0</v>
      </c>
      <c r="I142" s="353">
        <v>0.11</v>
      </c>
      <c r="J142" s="312">
        <f>ROUND(H142*I142,3)</f>
        <v>0</v>
      </c>
      <c r="K142" s="214"/>
    </row>
    <row r="143" spans="1:11" ht="12" customHeight="1">
      <c r="A143" s="290"/>
      <c r="B143" s="214"/>
      <c r="C143" s="214"/>
      <c r="D143" s="214"/>
      <c r="E143" s="323"/>
      <c r="F143" s="214"/>
      <c r="G143" s="316"/>
      <c r="H143" s="322"/>
      <c r="I143" s="214"/>
      <c r="J143" s="215"/>
      <c r="K143" s="214"/>
    </row>
    <row r="144" spans="1:11" ht="12" customHeight="1">
      <c r="A144" s="251" t="s">
        <v>924</v>
      </c>
      <c r="B144" s="214"/>
      <c r="C144" s="214"/>
      <c r="D144" s="214"/>
      <c r="E144" s="323"/>
      <c r="F144" s="214"/>
      <c r="G144" s="316"/>
      <c r="H144" s="322"/>
      <c r="I144" s="214"/>
      <c r="J144" s="215"/>
      <c r="K144" s="214"/>
    </row>
    <row r="145" spans="1:11" ht="12" customHeight="1">
      <c r="A145" s="215"/>
      <c r="B145" s="280" t="s">
        <v>857</v>
      </c>
      <c r="C145" s="214"/>
      <c r="D145" s="287" t="s">
        <v>925</v>
      </c>
      <c r="E145" s="214"/>
      <c r="F145" s="214"/>
      <c r="G145" s="214"/>
      <c r="H145" s="214"/>
      <c r="I145" s="214"/>
      <c r="J145" s="214"/>
      <c r="K145" s="214"/>
    </row>
    <row r="146" spans="1:11" ht="12" customHeight="1">
      <c r="A146" s="247"/>
      <c r="B146" s="281">
        <f>AVG!G53</f>
        <v>0</v>
      </c>
      <c r="C146" s="214"/>
      <c r="D146" s="288">
        <v>0</v>
      </c>
      <c r="E146" s="214"/>
      <c r="F146" s="214"/>
      <c r="G146" s="214"/>
      <c r="H146" s="214" t="s">
        <v>771</v>
      </c>
      <c r="I146" s="352" t="s">
        <v>847</v>
      </c>
      <c r="J146" s="280" t="s">
        <v>848</v>
      </c>
      <c r="K146" s="214"/>
    </row>
    <row r="147" spans="1:11" ht="12" customHeight="1">
      <c r="A147" s="214"/>
      <c r="B147" s="214"/>
      <c r="C147" s="214"/>
      <c r="D147" s="214"/>
      <c r="E147" s="214"/>
      <c r="F147" s="214"/>
      <c r="G147" s="261" t="s">
        <v>926</v>
      </c>
      <c r="H147" s="414">
        <f>ROUND(D146+B146,2)</f>
        <v>0</v>
      </c>
      <c r="I147" s="353">
        <v>0.3</v>
      </c>
      <c r="J147" s="312">
        <f>ROUND(H147*I147,3)</f>
        <v>0</v>
      </c>
      <c r="K147" s="214"/>
    </row>
    <row r="148" spans="1:11" ht="12" customHeight="1">
      <c r="A148" s="214"/>
      <c r="B148" s="214"/>
      <c r="C148" s="214"/>
      <c r="D148" s="214"/>
      <c r="E148" s="214"/>
      <c r="F148" s="214"/>
      <c r="G148" s="265"/>
      <c r="H148" s="214"/>
      <c r="I148" s="214"/>
      <c r="J148" s="332"/>
      <c r="K148" s="214"/>
    </row>
    <row r="149" spans="1:11" ht="12" customHeight="1">
      <c r="A149" s="214"/>
      <c r="B149" s="214"/>
      <c r="C149" s="214"/>
      <c r="D149" s="214"/>
      <c r="E149" s="214"/>
      <c r="F149" s="214"/>
      <c r="G149" s="265" t="s">
        <v>927</v>
      </c>
      <c r="H149" s="214"/>
      <c r="I149" s="214"/>
      <c r="J149" s="332" t="e">
        <f>ROUND(J147+J142+J137,3)</f>
        <v>#N/A</v>
      </c>
      <c r="K149" s="214"/>
    </row>
    <row r="150" spans="1:11" ht="12" customHeight="1">
      <c r="A150" s="214"/>
      <c r="B150" s="214"/>
      <c r="C150" s="214"/>
      <c r="D150" s="214"/>
      <c r="E150" s="214"/>
      <c r="F150" s="214"/>
      <c r="G150" s="265"/>
      <c r="H150" s="366"/>
      <c r="I150" s="214"/>
      <c r="J150" s="215"/>
      <c r="K150" s="214"/>
    </row>
    <row r="151" spans="1:11" ht="12" customHeight="1">
      <c r="A151" s="214"/>
      <c r="B151" s="214"/>
      <c r="C151" s="214"/>
      <c r="D151" s="214"/>
      <c r="E151" s="323"/>
      <c r="F151" s="214"/>
      <c r="G151" s="261" t="s">
        <v>928</v>
      </c>
      <c r="H151" s="214"/>
      <c r="I151" s="214"/>
      <c r="J151" s="215"/>
      <c r="K151" s="367">
        <v>4770.7</v>
      </c>
    </row>
    <row r="152" spans="1:11" ht="12" customHeight="1" thickBot="1">
      <c r="A152" s="214"/>
      <c r="B152" s="214"/>
      <c r="C152" s="214"/>
      <c r="D152" s="214"/>
      <c r="E152" s="323"/>
      <c r="F152" s="214"/>
      <c r="G152" s="261"/>
      <c r="H152" s="214"/>
      <c r="I152" s="277"/>
      <c r="J152" s="215"/>
      <c r="K152" s="368"/>
    </row>
    <row r="153" spans="1:11" ht="12" customHeight="1" thickTop="1">
      <c r="A153" s="214"/>
      <c r="B153" s="214"/>
      <c r="C153" s="214"/>
      <c r="D153" s="214"/>
      <c r="E153" s="323"/>
      <c r="F153" s="214"/>
      <c r="G153" s="261"/>
      <c r="H153" s="214"/>
      <c r="I153" s="277"/>
      <c r="J153" s="215"/>
      <c r="K153" s="366"/>
    </row>
    <row r="154" spans="1:11" ht="12" customHeight="1">
      <c r="A154" s="214"/>
      <c r="B154" s="214"/>
      <c r="C154" s="214"/>
      <c r="D154" s="214"/>
      <c r="E154" s="323"/>
      <c r="F154" s="214"/>
      <c r="G154" s="265" t="s">
        <v>929</v>
      </c>
      <c r="H154" s="214"/>
      <c r="I154" s="277"/>
      <c r="J154" s="215"/>
      <c r="K154" s="369" t="e">
        <f>ROUND(ROUND(J147*K151,2)+ROUND(J142*K151,2)+ROUND(J137*K151,2),2)</f>
        <v>#N/A</v>
      </c>
    </row>
    <row r="155" spans="1:11" ht="12" customHeight="1">
      <c r="A155" s="214"/>
      <c r="B155" s="214"/>
      <c r="C155" s="214"/>
      <c r="D155" s="214"/>
      <c r="E155" s="323"/>
      <c r="F155" s="214"/>
      <c r="G155" s="261" t="s">
        <v>930</v>
      </c>
      <c r="H155" s="214"/>
      <c r="I155" s="214"/>
      <c r="J155" s="215"/>
      <c r="K155" s="370" t="e">
        <f>IF(C7="N",0,ROUND((-K154*0.02),2))</f>
        <v>#N/A</v>
      </c>
    </row>
    <row r="156" spans="1:11" ht="12" customHeight="1">
      <c r="A156" s="371" t="s">
        <v>931</v>
      </c>
      <c r="B156" s="214"/>
      <c r="C156" s="214"/>
      <c r="D156" s="214"/>
      <c r="E156" s="214"/>
      <c r="F156" s="214"/>
      <c r="G156" s="214"/>
      <c r="H156" s="214"/>
      <c r="I156" s="214"/>
      <c r="J156" s="215"/>
      <c r="K156" s="214"/>
    </row>
    <row r="157" spans="1:11" ht="12" customHeight="1">
      <c r="A157" s="214"/>
      <c r="B157" s="214"/>
      <c r="C157" s="214"/>
      <c r="D157" s="214"/>
      <c r="E157" s="214"/>
      <c r="F157" s="372" t="s">
        <v>932</v>
      </c>
      <c r="G157" s="373" t="s">
        <v>933</v>
      </c>
      <c r="H157" s="214"/>
      <c r="I157" s="214"/>
      <c r="J157" s="215"/>
      <c r="K157" s="214"/>
    </row>
    <row r="158" spans="1:11" ht="12" customHeight="1">
      <c r="A158" s="214"/>
      <c r="B158" s="214"/>
      <c r="C158" s="214"/>
      <c r="D158" s="214"/>
      <c r="E158" s="374" t="s">
        <v>934</v>
      </c>
      <c r="F158" s="367">
        <v>0</v>
      </c>
      <c r="G158" s="375">
        <v>0.75</v>
      </c>
      <c r="H158" s="214"/>
      <c r="I158" s="214"/>
      <c r="J158" s="215"/>
      <c r="K158" s="376">
        <f>ROUND(G158*F158,2)</f>
        <v>0</v>
      </c>
    </row>
    <row r="159" spans="1:11" ht="12" customHeight="1">
      <c r="A159" s="214"/>
      <c r="B159" s="214"/>
      <c r="C159" s="214"/>
      <c r="D159" s="214"/>
      <c r="E159" s="374" t="s">
        <v>935</v>
      </c>
      <c r="F159" s="367">
        <v>0</v>
      </c>
      <c r="G159" s="377">
        <v>0.75</v>
      </c>
      <c r="H159" s="214"/>
      <c r="I159" s="214"/>
      <c r="J159" s="215"/>
      <c r="K159" s="376">
        <f>ROUND(G159*F159,2)</f>
        <v>0</v>
      </c>
    </row>
    <row r="160" spans="1:11" ht="12" customHeight="1">
      <c r="A160" s="214"/>
      <c r="B160" s="214"/>
      <c r="C160" s="214"/>
      <c r="D160" s="214"/>
      <c r="E160" s="374" t="s">
        <v>936</v>
      </c>
      <c r="F160" s="367">
        <v>0</v>
      </c>
      <c r="G160" s="378">
        <v>0.75</v>
      </c>
      <c r="H160" s="214"/>
      <c r="I160" s="214"/>
      <c r="J160" s="215"/>
      <c r="K160" s="376">
        <f>ROUND(G160*F160,2)</f>
        <v>0</v>
      </c>
    </row>
    <row r="161" spans="1:11" ht="12" customHeight="1">
      <c r="A161" s="214"/>
      <c r="B161" s="214"/>
      <c r="C161" s="214"/>
      <c r="D161" s="214"/>
      <c r="E161" s="261" t="s">
        <v>937</v>
      </c>
      <c r="F161" s="379"/>
      <c r="G161" s="380"/>
      <c r="H161" s="214"/>
      <c r="I161" s="214"/>
      <c r="J161" s="215"/>
      <c r="K161" s="379">
        <f>ROUND(SUM(K158:K160),2)</f>
        <v>0</v>
      </c>
    </row>
    <row r="162" spans="1:11" ht="12" customHeight="1">
      <c r="A162" s="214"/>
      <c r="B162" s="214"/>
      <c r="C162" s="214"/>
      <c r="D162" s="214"/>
      <c r="E162" s="324"/>
      <c r="F162" s="214"/>
      <c r="G162" s="381" t="s">
        <v>938</v>
      </c>
      <c r="H162" s="214"/>
      <c r="I162" s="214"/>
      <c r="J162" s="215"/>
      <c r="K162" s="369">
        <f>ROUND(-(K161),2)</f>
        <v>0</v>
      </c>
    </row>
    <row r="163" spans="1:11" ht="12" customHeight="1">
      <c r="A163" s="214"/>
      <c r="B163" s="214"/>
      <c r="C163" s="214"/>
      <c r="D163" s="214"/>
      <c r="E163" s="324"/>
      <c r="F163" s="214"/>
      <c r="G163" s="322" t="e">
        <f>IF(AND(C7="Y",K162&lt;0),"CREDITS ONLY FOR DISTRICTS!"," ")</f>
        <v>#N/A</v>
      </c>
      <c r="H163" s="214"/>
      <c r="I163" s="214"/>
      <c r="J163" s="215"/>
      <c r="K163" s="382"/>
    </row>
    <row r="164" spans="1:11" ht="12" customHeight="1">
      <c r="A164" s="383" t="s">
        <v>939</v>
      </c>
      <c r="B164" s="214"/>
      <c r="C164" s="214"/>
      <c r="D164" s="214"/>
      <c r="E164" s="214"/>
      <c r="F164" s="214"/>
      <c r="G164" s="214"/>
      <c r="H164" s="214"/>
      <c r="I164" s="214"/>
      <c r="J164" s="215"/>
      <c r="K164" s="214"/>
    </row>
    <row r="165" spans="1:11" ht="12" customHeight="1">
      <c r="A165" s="214"/>
      <c r="B165" s="214"/>
      <c r="C165" s="214"/>
      <c r="D165" s="214"/>
      <c r="E165" s="214"/>
      <c r="F165" s="372" t="s">
        <v>932</v>
      </c>
      <c r="G165" s="373" t="s">
        <v>933</v>
      </c>
      <c r="H165" s="214"/>
      <c r="I165" s="214"/>
      <c r="J165" s="215"/>
      <c r="K165" s="384"/>
    </row>
    <row r="166" spans="1:11" ht="12" customHeight="1">
      <c r="A166" s="214"/>
      <c r="B166" s="214"/>
      <c r="C166" s="214"/>
      <c r="D166" s="214"/>
      <c r="E166" s="385" t="s">
        <v>940</v>
      </c>
      <c r="F166" s="395">
        <f>IFERROR(INDEX(PED_DATA_ONLY!AY6:AY16,MATCH('Estimated SEG FY22'!J3,PED_DATA_ONLY!BD6:BD16,0)),0)</f>
        <v>0</v>
      </c>
      <c r="G166" s="378">
        <v>0.9</v>
      </c>
      <c r="H166" s="214"/>
      <c r="I166" s="214"/>
      <c r="J166" s="215"/>
      <c r="K166" s="376">
        <f>ROUND(G166*F166,2)</f>
        <v>0</v>
      </c>
    </row>
    <row r="167" spans="1:11" ht="12" customHeight="1">
      <c r="A167" s="214"/>
      <c r="B167" s="214"/>
      <c r="C167" s="214"/>
      <c r="D167" s="214"/>
      <c r="E167" s="214"/>
      <c r="F167" s="214"/>
      <c r="G167" s="380" t="s">
        <v>941</v>
      </c>
      <c r="H167" s="214"/>
      <c r="I167" s="214"/>
      <c r="J167" s="215"/>
      <c r="K167" s="379">
        <f>K166</f>
        <v>0</v>
      </c>
    </row>
    <row r="168" spans="1:11" ht="12" customHeight="1">
      <c r="A168" s="260"/>
      <c r="B168" s="260"/>
      <c r="C168" s="260"/>
      <c r="D168" s="260"/>
      <c r="E168" s="214"/>
      <c r="F168" s="386"/>
      <c r="G168" s="381" t="s">
        <v>942</v>
      </c>
      <c r="H168" s="214"/>
      <c r="I168" s="214"/>
      <c r="J168" s="215"/>
      <c r="K168" s="369">
        <f>(-K167)</f>
        <v>0</v>
      </c>
    </row>
    <row r="169" spans="1:11" ht="12" customHeight="1">
      <c r="A169" s="260"/>
      <c r="B169" s="260"/>
      <c r="C169" s="260"/>
      <c r="D169" s="260"/>
      <c r="E169" s="387"/>
      <c r="F169" s="214"/>
      <c r="G169" s="325"/>
      <c r="H169" s="214"/>
      <c r="I169" s="214"/>
      <c r="J169" s="215"/>
      <c r="K169" s="214"/>
    </row>
    <row r="170" spans="1:11" ht="12" customHeight="1">
      <c r="A170" s="260"/>
      <c r="B170" s="260"/>
      <c r="C170" s="260"/>
      <c r="D170" s="260"/>
      <c r="E170" s="214"/>
      <c r="F170" s="214"/>
      <c r="G170" s="214"/>
      <c r="H170" s="214"/>
      <c r="I170" s="214"/>
      <c r="J170" s="215"/>
      <c r="K170" s="214"/>
    </row>
    <row r="171" spans="1:11" ht="12" customHeight="1" thickBot="1">
      <c r="A171" s="260"/>
      <c r="B171" s="260"/>
      <c r="C171" s="214"/>
      <c r="D171" s="214"/>
      <c r="E171" s="214"/>
      <c r="F171" s="214"/>
      <c r="G171" s="214"/>
      <c r="H171" s="214"/>
      <c r="I171" s="214"/>
      <c r="J171" s="215"/>
      <c r="K171" s="214"/>
    </row>
    <row r="172" spans="1:11" ht="21.6" thickTop="1" thickBot="1">
      <c r="A172" s="373"/>
      <c r="B172" s="260"/>
      <c r="C172" s="214"/>
      <c r="D172" s="388" t="s">
        <v>943</v>
      </c>
      <c r="E172" s="389"/>
      <c r="F172" s="389"/>
      <c r="G172" s="389"/>
      <c r="H172" s="389"/>
      <c r="I172" s="389"/>
      <c r="J172" s="390"/>
      <c r="K172" s="391" t="e">
        <f>ROUND(K154+K155+K162+K168,2)</f>
        <v>#N/A</v>
      </c>
    </row>
    <row r="173" spans="1:11" ht="12" customHeight="1" thickTop="1">
      <c r="A173" s="260"/>
      <c r="B173" s="260"/>
      <c r="C173" s="260"/>
      <c r="D173" s="260"/>
      <c r="E173" s="260"/>
      <c r="F173" s="260"/>
      <c r="G173" s="260"/>
      <c r="H173" s="260"/>
      <c r="I173" s="260"/>
      <c r="J173" s="212"/>
      <c r="K173" s="260"/>
    </row>
    <row r="174" spans="1:11" ht="12" customHeight="1">
      <c r="A174" s="214"/>
      <c r="B174" s="214"/>
      <c r="C174" s="214"/>
      <c r="D174" s="214"/>
      <c r="E174" s="214"/>
      <c r="F174" s="214"/>
      <c r="G174" s="214"/>
      <c r="H174" s="214"/>
      <c r="I174" s="214"/>
      <c r="J174" s="215"/>
      <c r="K174" s="214"/>
    </row>
    <row r="175" spans="1:11" ht="12" customHeight="1">
      <c r="A175" s="383" t="s">
        <v>944</v>
      </c>
      <c r="B175" s="214"/>
      <c r="C175" s="214"/>
      <c r="D175" s="214"/>
      <c r="E175" s="352" t="e">
        <f>IF(OR(J2="LC",J2="SC"),"SEG as of 1/1/2021 before admin withhold","")</f>
        <v>#N/A</v>
      </c>
      <c r="F175" s="395" t="e">
        <f>IF(OR(J2="SC",J2="LC"),F177/0.98,"")</f>
        <v>#N/A</v>
      </c>
      <c r="H175" s="424"/>
      <c r="K175" s="376"/>
    </row>
    <row r="176" spans="1:11" ht="12" customHeight="1">
      <c r="A176" s="214"/>
      <c r="B176" s="260"/>
      <c r="C176" s="260"/>
      <c r="D176" s="214"/>
      <c r="E176" s="425" t="e">
        <f>IF(J2="D","","admin withhold")</f>
        <v>#N/A</v>
      </c>
      <c r="F176" s="427" t="e">
        <f>IF(OR(J2="SC",J2="LC"),ROUND(-F175*0.02,2),"")</f>
        <v>#N/A</v>
      </c>
      <c r="G176" s="214"/>
      <c r="H176" s="214"/>
      <c r="I176" s="214"/>
      <c r="J176" s="215"/>
    </row>
    <row r="177" spans="1:11" ht="12" customHeight="1">
      <c r="A177" s="214"/>
      <c r="B177" s="260"/>
      <c r="C177" s="260"/>
      <c r="D177" s="214"/>
      <c r="E177" s="352" t="s">
        <v>945</v>
      </c>
      <c r="F177" s="395">
        <f>IFERROR(IF(OR(J2="DC",J2="LC"),INDEX(PED_DATA_ONLY!$AR$3:$AR$189,MATCH('Estimated SEG FY22'!$J$3,PED_DATA_ONLY!$AP$3:$AP$189,0))*0.98,INDEX(PED_DATA_ONLY!$AR$3:$AR$189,MATCH('Estimated SEG FY22'!$J$3,PED_DATA_ONLY!$AP$3:$AP$189,0))),0)</f>
        <v>0</v>
      </c>
      <c r="G177" s="214"/>
      <c r="H177" s="214"/>
      <c r="I177" s="214"/>
      <c r="J177" s="215"/>
      <c r="K177" s="376" t="e">
        <f>IF(K172&lt;F177,F177-K172,0)</f>
        <v>#N/A</v>
      </c>
    </row>
    <row r="178" spans="1:11" ht="12" customHeight="1" thickBot="1">
      <c r="A178" s="214"/>
      <c r="B178" s="214"/>
      <c r="C178" s="214"/>
      <c r="D178" s="214"/>
      <c r="E178" s="423" t="str">
        <f>IF(J3="SC","2% State Charter Witholding of Hold Harmless","")</f>
        <v/>
      </c>
      <c r="F178" s="214"/>
      <c r="G178" s="214"/>
      <c r="H178" s="214"/>
      <c r="I178" s="214"/>
      <c r="J178" s="215"/>
      <c r="K178" s="370"/>
    </row>
    <row r="179" spans="1:11" ht="21.6" thickTop="1" thickBot="1">
      <c r="A179" s="373"/>
      <c r="B179" s="260"/>
      <c r="C179" s="214"/>
      <c r="D179" s="388" t="s">
        <v>946</v>
      </c>
      <c r="E179" s="389"/>
      <c r="F179" s="389"/>
      <c r="G179" s="389"/>
      <c r="H179" s="389"/>
      <c r="I179" s="389"/>
      <c r="J179" s="390"/>
      <c r="K179" s="426" t="e">
        <f>IF(J2="SC",K172+K177+K178,K172+K177)</f>
        <v>#N/A</v>
      </c>
    </row>
    <row r="180" spans="1:11" ht="12" customHeight="1" thickTop="1">
      <c r="A180" s="214"/>
      <c r="B180" s="214"/>
      <c r="C180" s="214"/>
      <c r="D180" s="214"/>
      <c r="E180" s="214"/>
      <c r="F180" s="214"/>
      <c r="G180" s="214"/>
      <c r="H180" s="214"/>
      <c r="I180" s="214"/>
      <c r="J180" s="215"/>
      <c r="K180" s="214"/>
    </row>
    <row r="181" spans="1:11">
      <c r="A181" s="214"/>
      <c r="B181" s="214"/>
      <c r="C181" s="214"/>
      <c r="D181" s="214" t="s">
        <v>967</v>
      </c>
      <c r="E181" s="214"/>
      <c r="F181" s="214"/>
      <c r="G181" s="214"/>
      <c r="H181" s="214"/>
      <c r="I181" s="214"/>
      <c r="J181" s="215"/>
      <c r="K181" s="376"/>
    </row>
  </sheetData>
  <sheetProtection algorithmName="SHA-512" hashValue="50RQgrI98/JahNXH/eCISeT7v+bjmCRVygfZHPwB78nsjRImOsEl7r3m2i1xk2OZ0QEZljL58tzhS6m/7V8H1w==" saltValue="cJyoQpez1FchPPCvGESQ5w==" spinCount="100000" sheet="1" formatCells="0" formatColumns="0" formatRows="0" insertColumns="0" insertRows="0" insertHyperlinks="0" sort="0" autoFilter="0" pivotTables="0"/>
  <mergeCells count="5">
    <mergeCell ref="C2:E2"/>
    <mergeCell ref="C3:E3"/>
    <mergeCell ref="A99:D99"/>
    <mergeCell ref="A1:K1"/>
    <mergeCell ref="A73:E73"/>
  </mergeCells>
  <dataValidations count="3">
    <dataValidation type="list" allowBlank="1" showInputMessage="1" showErrorMessage="1" sqref="C9">
      <formula1>"Y,N"</formula1>
    </dataValidation>
    <dataValidation type="list" allowBlank="1" showInputMessage="1" showErrorMessage="1" sqref="C93">
      <formula1>"Select…,Y,N"</formula1>
    </dataValidation>
    <dataValidation type="list" allowBlank="1" showInputMessage="1" showErrorMessage="1" sqref="F126">
      <formula1>"YES,NO"</formula1>
    </dataValidation>
  </dataValidations>
  <printOptions horizontalCentered="1"/>
  <pageMargins left="0.2" right="0.2" top="0.5" bottom="0.5" header="0" footer="0.3"/>
  <pageSetup scale="66" orientation="landscape" r:id="rId1"/>
  <headerFooter>
    <oddFooter>&amp;L&amp;"-,Bold"Superintendent/Charter Rep Signature _______________________________________________________________________________&amp;R&amp;"-,Bold"&amp;P of &amp;N</oddFooter>
  </headerFooter>
  <rowBreaks count="2" manualBreakCount="2">
    <brk id="61" max="16383" man="1"/>
    <brk id="120"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7"/>
  <sheetViews>
    <sheetView topLeftCell="A149" zoomScaleNormal="100" workbookViewId="0">
      <selection activeCell="B173" sqref="B173"/>
    </sheetView>
  </sheetViews>
  <sheetFormatPr defaultColWidth="9.109375" defaultRowHeight="14.4"/>
  <cols>
    <col min="1" max="1" width="53.5546875" style="66" bestFit="1" customWidth="1"/>
    <col min="2" max="2" width="20.88671875" style="66" bestFit="1" customWidth="1"/>
    <col min="3" max="3" width="46.88671875" style="66" bestFit="1" customWidth="1"/>
    <col min="4" max="4" width="27" style="66" bestFit="1" customWidth="1"/>
    <col min="5" max="5" width="9.109375" style="66"/>
    <col min="6" max="6" width="50.5546875" style="66" bestFit="1" customWidth="1"/>
    <col min="7" max="7" width="9.109375" style="66"/>
    <col min="8" max="8" width="12.5546875" style="66" bestFit="1" customWidth="1"/>
    <col min="9" max="9" width="28.88671875" style="66" bestFit="1" customWidth="1"/>
    <col min="10" max="16384" width="9.109375" style="66"/>
  </cols>
  <sheetData>
    <row r="1" spans="1:9">
      <c r="A1" s="64" t="s">
        <v>667</v>
      </c>
      <c r="B1" s="64" t="s">
        <v>5</v>
      </c>
      <c r="C1" s="64" t="s">
        <v>6</v>
      </c>
      <c r="D1" s="64" t="s">
        <v>668</v>
      </c>
      <c r="E1" s="65" t="s">
        <v>669</v>
      </c>
      <c r="F1" s="65" t="s">
        <v>670</v>
      </c>
      <c r="G1" s="65" t="s">
        <v>671</v>
      </c>
      <c r="H1" s="65" t="s">
        <v>672</v>
      </c>
      <c r="I1" s="65" t="s">
        <v>673</v>
      </c>
    </row>
    <row r="2" spans="1:9">
      <c r="A2" s="67" t="s">
        <v>21</v>
      </c>
      <c r="B2" s="67" t="s">
        <v>25</v>
      </c>
      <c r="C2" s="67" t="s">
        <v>26</v>
      </c>
      <c r="D2" s="67" t="s">
        <v>674</v>
      </c>
      <c r="E2" s="68">
        <f t="shared" ref="E2:E65" si="0">COUNTIF($A$2:$A$226,"&lt;="&amp;A2)</f>
        <v>5</v>
      </c>
      <c r="F2" s="68" t="str">
        <f>IFERROR(INDEX($A$2:$A$226,MATCH(ROWS($E$2:E2),$E$2:$E$226,0)),"")</f>
        <v>ACADEMY FOR TECH &amp; CLASSICS</v>
      </c>
      <c r="G2" s="69">
        <f>IF(ISERROR(SEARCH('80-120'!$A$5,$F2)),0,1)</f>
        <v>1</v>
      </c>
      <c r="H2" s="69">
        <f>IF($G2=0,"",COUNTIF($G$2:G2,1))</f>
        <v>1</v>
      </c>
      <c r="I2" s="69" t="str">
        <f t="shared" ref="I2:I65" si="1">IFERROR(INDEX(F1:F226,MATCH(ROW(H1),H1:H226,0)),"")</f>
        <v>ACADEMY FOR TECH &amp; CLASSICS</v>
      </c>
    </row>
    <row r="3" spans="1:9">
      <c r="A3" s="67" t="s">
        <v>35</v>
      </c>
      <c r="B3" s="67" t="s">
        <v>38</v>
      </c>
      <c r="C3" s="67" t="s">
        <v>26</v>
      </c>
      <c r="D3" s="67" t="s">
        <v>675</v>
      </c>
      <c r="E3" s="68">
        <f t="shared" si="0"/>
        <v>6</v>
      </c>
      <c r="F3" s="68" t="str">
        <f>IFERROR(INDEX($A$2:$A$226,MATCH(ROWS($E$2:E3),$E$2:$E$226,0)),"")</f>
        <v>ACE LEADERSHIP</v>
      </c>
      <c r="G3" s="69">
        <f>IF(ISERROR(SEARCH('80-120'!$A$5,$F3)),0,1)</f>
        <v>1</v>
      </c>
      <c r="H3" s="69">
        <f>IF($G3=0,"",COUNTIF($G$2:G3,1))</f>
        <v>2</v>
      </c>
      <c r="I3" s="69" t="str">
        <f t="shared" si="1"/>
        <v>ACE LEADERSHIP</v>
      </c>
    </row>
    <row r="4" spans="1:9">
      <c r="A4" s="67" t="s">
        <v>39</v>
      </c>
      <c r="B4" s="67" t="s">
        <v>41</v>
      </c>
      <c r="C4" s="67" t="s">
        <v>32</v>
      </c>
      <c r="D4" s="67" t="s">
        <v>675</v>
      </c>
      <c r="E4" s="68">
        <f t="shared" si="0"/>
        <v>2</v>
      </c>
      <c r="F4" s="68" t="str">
        <f>IFERROR(INDEX($A$2:$A$226,MATCH(ROWS($E$2:E4),$E$2:$E$226,0)),"")</f>
        <v>ACES TECHNICAL CHARTER SCHOOL</v>
      </c>
      <c r="G4" s="69">
        <f>IF(ISERROR(SEARCH('80-120'!$A$5,$F4)),0,1)</f>
        <v>1</v>
      </c>
      <c r="H4" s="69">
        <f>IF($G4=0,"",COUNTIF($G$2:G4,1))</f>
        <v>3</v>
      </c>
      <c r="I4" s="69" t="str">
        <f t="shared" si="1"/>
        <v>ACES TECHNICAL CHARTER SCHOOL</v>
      </c>
    </row>
    <row r="5" spans="1:9">
      <c r="A5" s="67" t="s">
        <v>48</v>
      </c>
      <c r="B5" s="67" t="s">
        <v>50</v>
      </c>
      <c r="C5" s="67" t="s">
        <v>32</v>
      </c>
      <c r="D5" s="67" t="s">
        <v>675</v>
      </c>
      <c r="E5" s="68">
        <f t="shared" si="0"/>
        <v>8</v>
      </c>
      <c r="F5" s="68" t="str">
        <f>IFERROR(INDEX($A$2:$A$226,MATCH(ROWS($E$2:E5),$E$2:$E$226,0)),"")</f>
        <v>AIMS @ UNM</v>
      </c>
      <c r="G5" s="69">
        <f>IF(ISERROR(SEARCH('80-120'!$A$5,$F5)),0,1)</f>
        <v>1</v>
      </c>
      <c r="H5" s="69">
        <f>IF($G5=0,"",COUNTIF($G$2:G5,1))</f>
        <v>4</v>
      </c>
      <c r="I5" s="69" t="str">
        <f t="shared" si="1"/>
        <v>AIMS @ UNM</v>
      </c>
    </row>
    <row r="6" spans="1:9">
      <c r="A6" s="67" t="s">
        <v>55</v>
      </c>
      <c r="B6" s="67" t="s">
        <v>57</v>
      </c>
      <c r="C6" s="67" t="s">
        <v>32</v>
      </c>
      <c r="D6" s="67" t="s">
        <v>675</v>
      </c>
      <c r="E6" s="68">
        <f t="shared" si="0"/>
        <v>171</v>
      </c>
      <c r="F6" s="68" t="str">
        <f>IFERROR(INDEX($A$2:$A$226,MATCH(ROWS($E$2:E6),$E$2:$E$226,0)),"")</f>
        <v>ALAMOGORDO</v>
      </c>
      <c r="G6" s="69">
        <f>IF(ISERROR(SEARCH('80-120'!$A$5,$F6)),0,1)</f>
        <v>1</v>
      </c>
      <c r="H6" s="69">
        <f>IF($G6=0,"",COUNTIF($G$2:G6,1))</f>
        <v>5</v>
      </c>
      <c r="I6" s="69" t="str">
        <f t="shared" si="1"/>
        <v>ALAMOGORDO</v>
      </c>
    </row>
    <row r="7" spans="1:9">
      <c r="A7" s="67" t="s">
        <v>59</v>
      </c>
      <c r="B7" s="67" t="s">
        <v>61</v>
      </c>
      <c r="C7" s="67" t="s">
        <v>32</v>
      </c>
      <c r="D7" s="67" t="s">
        <v>675</v>
      </c>
      <c r="E7" s="68">
        <f t="shared" si="0"/>
        <v>13</v>
      </c>
      <c r="F7" s="68" t="str">
        <f>IFERROR(INDEX($A$2:$A$226,MATCH(ROWS($E$2:E7),$E$2:$E$226,0)),"")</f>
        <v>ALBUQUERQUE</v>
      </c>
      <c r="G7" s="69">
        <f>IF(ISERROR(SEARCH('80-120'!$A$5,$F7)),0,1)</f>
        <v>1</v>
      </c>
      <c r="H7" s="69">
        <f>IF($G7=0,"",COUNTIF($G$2:G7,1))</f>
        <v>6</v>
      </c>
      <c r="I7" s="69" t="str">
        <f t="shared" si="1"/>
        <v>ALBUQUERQUE</v>
      </c>
    </row>
    <row r="8" spans="1:9">
      <c r="A8" s="67" t="s">
        <v>62</v>
      </c>
      <c r="B8" s="67" t="s">
        <v>64</v>
      </c>
      <c r="C8" s="67" t="s">
        <v>32</v>
      </c>
      <c r="D8" s="67" t="s">
        <v>675</v>
      </c>
      <c r="E8" s="68">
        <f t="shared" si="0"/>
        <v>31</v>
      </c>
      <c r="F8" s="68" t="str">
        <f>IFERROR(INDEX($A$2:$A$226,MATCH(ROWS($E$2:E8),$E$2:$E$226,0)),"")</f>
        <v>ALBUQUERQUE BILINGUAL ACADEMY</v>
      </c>
      <c r="G8" s="69">
        <f>IF(ISERROR(SEARCH('80-120'!$A$5,$F8)),0,1)</f>
        <v>1</v>
      </c>
      <c r="H8" s="69">
        <f>IF($G8=0,"",COUNTIF($G$2:G8,1))</f>
        <v>7</v>
      </c>
      <c r="I8" s="69" t="str">
        <f t="shared" si="1"/>
        <v>ALBUQUERQUE BILINGUAL ACADEMY</v>
      </c>
    </row>
    <row r="9" spans="1:9">
      <c r="A9" s="67" t="s">
        <v>69</v>
      </c>
      <c r="B9" s="67" t="s">
        <v>71</v>
      </c>
      <c r="C9" s="67" t="s">
        <v>32</v>
      </c>
      <c r="D9" s="67" t="s">
        <v>675</v>
      </c>
      <c r="E9" s="68">
        <f t="shared" si="0"/>
        <v>32</v>
      </c>
      <c r="F9" s="68" t="str">
        <f>IFERROR(INDEX($A$2:$A$226,MATCH(ROWS($E$2:E9),$E$2:$E$226,0)),"")</f>
        <v>ALBUQUERQUE CHARTER ACADEMY</v>
      </c>
      <c r="G9" s="69">
        <f>IF(ISERROR(SEARCH('80-120'!$A$5,$F9)),0,1)</f>
        <v>1</v>
      </c>
      <c r="H9" s="69">
        <f>IF($G9=0,"",COUNTIF($G$2:G9,1))</f>
        <v>8</v>
      </c>
      <c r="I9" s="69" t="str">
        <f t="shared" si="1"/>
        <v>ALBUQUERQUE CHARTER ACADEMY</v>
      </c>
    </row>
    <row r="10" spans="1:9">
      <c r="A10" s="67" t="s">
        <v>72</v>
      </c>
      <c r="B10" s="67" t="s">
        <v>74</v>
      </c>
      <c r="C10" s="67" t="s">
        <v>32</v>
      </c>
      <c r="D10" s="67" t="s">
        <v>675</v>
      </c>
      <c r="E10" s="68">
        <f t="shared" si="0"/>
        <v>38</v>
      </c>
      <c r="F10" s="68" t="str">
        <f>IFERROR(INDEX($A$2:$A$226,MATCH(ROWS($E$2:E10),$E$2:$E$226,0)),"")</f>
        <v>ALBUQUERQUE COLLEGIATE</v>
      </c>
      <c r="G10" s="69">
        <f>IF(ISERROR(SEARCH('80-120'!$A$5,$F10)),0,1)</f>
        <v>1</v>
      </c>
      <c r="H10" s="69">
        <f>IF($G10=0,"",COUNTIF($G$2:G10,1))</f>
        <v>9</v>
      </c>
      <c r="I10" s="69" t="str">
        <f t="shared" si="1"/>
        <v>ALBUQUERQUE COLLEGIATE</v>
      </c>
    </row>
    <row r="11" spans="1:9">
      <c r="A11" s="67" t="s">
        <v>79</v>
      </c>
      <c r="B11" s="67" t="s">
        <v>81</v>
      </c>
      <c r="C11" s="67" t="s">
        <v>32</v>
      </c>
      <c r="D11" s="67" t="s">
        <v>675</v>
      </c>
      <c r="E11" s="68">
        <f t="shared" si="0"/>
        <v>40</v>
      </c>
      <c r="F11" s="68" t="str">
        <f>IFERROR(INDEX($A$2:$A$226,MATCH(ROWS($E$2:E11),$E$2:$E$226,0)),"")</f>
        <v>ALBUQUERQUE SCHOOL OF EXCELLENCE</v>
      </c>
      <c r="G11" s="69">
        <f>IF(ISERROR(SEARCH('80-120'!$A$5,$F11)),0,1)</f>
        <v>1</v>
      </c>
      <c r="H11" s="69">
        <f>IF($G11=0,"",COUNTIF($G$2:G11,1))</f>
        <v>10</v>
      </c>
      <c r="I11" s="69" t="str">
        <f t="shared" si="1"/>
        <v>ALBUQUERQUE SCHOOL OF EXCELLENCE</v>
      </c>
    </row>
    <row r="12" spans="1:9">
      <c r="A12" s="67" t="s">
        <v>85</v>
      </c>
      <c r="B12" s="67" t="s">
        <v>87</v>
      </c>
      <c r="C12" s="67" t="s">
        <v>32</v>
      </c>
      <c r="D12" s="67" t="s">
        <v>675</v>
      </c>
      <c r="E12" s="68">
        <f t="shared" si="0"/>
        <v>41</v>
      </c>
      <c r="F12" s="68" t="str">
        <f>IFERROR(INDEX($A$2:$A$226,MATCH(ROWS($E$2:E12),$E$2:$E$226,0)),"")</f>
        <v>ALBUQUERQUE SIGN LANGUAGE</v>
      </c>
      <c r="G12" s="69">
        <f>IF(ISERROR(SEARCH('80-120'!$A$5,$F12)),0,1)</f>
        <v>1</v>
      </c>
      <c r="H12" s="69">
        <f>IF($G12=0,"",COUNTIF($G$2:G12,1))</f>
        <v>11</v>
      </c>
      <c r="I12" s="69" t="str">
        <f t="shared" si="1"/>
        <v>ALBUQUERQUE SIGN LANGUAGE</v>
      </c>
    </row>
    <row r="13" spans="1:9">
      <c r="A13" s="67" t="s">
        <v>92</v>
      </c>
      <c r="B13" s="67" t="s">
        <v>94</v>
      </c>
      <c r="C13" s="67" t="s">
        <v>32</v>
      </c>
      <c r="D13" s="67" t="s">
        <v>675</v>
      </c>
      <c r="E13" s="68">
        <f t="shared" si="0"/>
        <v>49</v>
      </c>
      <c r="F13" s="68" t="str">
        <f>IFERROR(INDEX($A$2:$A$226,MATCH(ROWS($E$2:E13),$E$2:$E$226,0)),"")</f>
        <v>ALDO LEOPOLD ST. CHARTER</v>
      </c>
      <c r="G13" s="69">
        <f>IF(ISERROR(SEARCH('80-120'!$A$5,$F13)),0,1)</f>
        <v>1</v>
      </c>
      <c r="H13" s="69">
        <f>IF($G13=0,"",COUNTIF($G$2:G13,1))</f>
        <v>12</v>
      </c>
      <c r="I13" s="69" t="str">
        <f t="shared" si="1"/>
        <v>ALDO LEOPOLD ST. CHARTER</v>
      </c>
    </row>
    <row r="14" spans="1:9">
      <c r="A14" s="67" t="s">
        <v>100</v>
      </c>
      <c r="B14" s="67" t="s">
        <v>101</v>
      </c>
      <c r="C14" s="67" t="s">
        <v>32</v>
      </c>
      <c r="D14" s="67" t="s">
        <v>675</v>
      </c>
      <c r="E14" s="68">
        <f t="shared" si="0"/>
        <v>53</v>
      </c>
      <c r="F14" s="68" t="str">
        <f>IFERROR(INDEX($A$2:$A$226,MATCH(ROWS($E$2:E14),$E$2:$E$226,0)),"")</f>
        <v>ALICE KING COMMUNITY SCHOOL</v>
      </c>
      <c r="G14" s="69">
        <f>IF(ISERROR(SEARCH('80-120'!$A$5,$F14)),0,1)</f>
        <v>1</v>
      </c>
      <c r="H14" s="69">
        <f>IF($G14=0,"",COUNTIF($G$2:G14,1))</f>
        <v>13</v>
      </c>
      <c r="I14" s="69" t="str">
        <f t="shared" si="1"/>
        <v>ALICE KING COMMUNITY SCHOOL</v>
      </c>
    </row>
    <row r="15" spans="1:9">
      <c r="A15" s="67" t="s">
        <v>103</v>
      </c>
      <c r="B15" s="67" t="s">
        <v>105</v>
      </c>
      <c r="C15" s="67" t="s">
        <v>32</v>
      </c>
      <c r="D15" s="67" t="s">
        <v>675</v>
      </c>
      <c r="E15" s="68">
        <f t="shared" si="0"/>
        <v>54</v>
      </c>
      <c r="F15" s="68" t="str">
        <f>IFERROR(INDEX($A$2:$A$226,MATCH(ROWS($E$2:E15),$E$2:$E$226,0)),"")</f>
        <v>ALMA D' ARTE STATE CHARTER</v>
      </c>
      <c r="G15" s="69">
        <f>IF(ISERROR(SEARCH('80-120'!$A$5,$F15)),0,1)</f>
        <v>1</v>
      </c>
      <c r="H15" s="69">
        <f>IF($G15=0,"",COUNTIF($G$2:G15,1))</f>
        <v>14</v>
      </c>
      <c r="I15" s="69" t="str">
        <f t="shared" si="1"/>
        <v>ALMA D' ARTE STATE CHARTER</v>
      </c>
    </row>
    <row r="16" spans="1:9">
      <c r="A16" s="67" t="s">
        <v>111</v>
      </c>
      <c r="B16" s="67" t="s">
        <v>113</v>
      </c>
      <c r="C16" s="67" t="s">
        <v>32</v>
      </c>
      <c r="D16" s="67" t="s">
        <v>675</v>
      </c>
      <c r="E16" s="68">
        <f t="shared" si="0"/>
        <v>67</v>
      </c>
      <c r="F16" s="68" t="str">
        <f>IFERROR(INDEX($A$2:$A$226,MATCH(ROWS($E$2:E16),$E$2:$E$226,0)),"")</f>
        <v>ALTURA PREPARATORY SCHOOL</v>
      </c>
      <c r="G16" s="69">
        <f>IF(ISERROR(SEARCH('80-120'!$A$5,$F16)),0,1)</f>
        <v>1</v>
      </c>
      <c r="H16" s="69">
        <f>IF($G16=0,"",COUNTIF($G$2:G16,1))</f>
        <v>15</v>
      </c>
      <c r="I16" s="69" t="str">
        <f t="shared" si="1"/>
        <v>ALTURA PREPARATORY SCHOOL</v>
      </c>
    </row>
    <row r="17" spans="1:9">
      <c r="A17" s="67" t="s">
        <v>118</v>
      </c>
      <c r="B17" s="67" t="s">
        <v>120</v>
      </c>
      <c r="C17" s="67" t="s">
        <v>32</v>
      </c>
      <c r="D17" s="67" t="s">
        <v>675</v>
      </c>
      <c r="E17" s="68">
        <f t="shared" si="0"/>
        <v>68</v>
      </c>
      <c r="F17" s="68" t="str">
        <f>IFERROR(INDEX($A$2:$A$226,MATCH(ROWS($E$2:E17),$E$2:$E$226,0)),"")</f>
        <v>AMY BIEHL ST. CHARTER</v>
      </c>
      <c r="G17" s="69">
        <f>IF(ISERROR(SEARCH('80-120'!$A$5,$F17)),0,1)</f>
        <v>1</v>
      </c>
      <c r="H17" s="69">
        <f>IF($G17=0,"",COUNTIF($G$2:G17,1))</f>
        <v>16</v>
      </c>
      <c r="I17" s="69" t="str">
        <f t="shared" si="1"/>
        <v>AMY BIEHL ST. CHARTER</v>
      </c>
    </row>
    <row r="18" spans="1:9">
      <c r="A18" s="67" t="s">
        <v>125</v>
      </c>
      <c r="B18" s="67" t="s">
        <v>127</v>
      </c>
      <c r="C18" s="67" t="s">
        <v>32</v>
      </c>
      <c r="D18" s="67" t="s">
        <v>675</v>
      </c>
      <c r="E18" s="68">
        <f t="shared" si="0"/>
        <v>73</v>
      </c>
      <c r="F18" s="68" t="str">
        <f>IFERROR(INDEX($A$2:$A$226,MATCH(ROWS($E$2:E18),$E$2:$E$226,0)),"")</f>
        <v>ANANSI CHARTER</v>
      </c>
      <c r="G18" s="69">
        <f>IF(ISERROR(SEARCH('80-120'!$A$5,$F18)),0,1)</f>
        <v>1</v>
      </c>
      <c r="H18" s="69">
        <f>IF($G18=0,"",COUNTIF($G$2:G18,1))</f>
        <v>17</v>
      </c>
      <c r="I18" s="69" t="str">
        <f t="shared" si="1"/>
        <v>ANANSI CHARTER</v>
      </c>
    </row>
    <row r="19" spans="1:9">
      <c r="A19" s="67" t="s">
        <v>134</v>
      </c>
      <c r="B19" s="67" t="s">
        <v>136</v>
      </c>
      <c r="C19" s="67" t="s">
        <v>32</v>
      </c>
      <c r="D19" s="67" t="s">
        <v>675</v>
      </c>
      <c r="E19" s="68">
        <f t="shared" si="0"/>
        <v>79</v>
      </c>
      <c r="F19" s="68" t="str">
        <f>IFERROR(INDEX($A$2:$A$226,MATCH(ROWS($E$2:E19),$E$2:$E$226,0)),"")</f>
        <v>ANIMAS</v>
      </c>
      <c r="G19" s="69">
        <f>IF(ISERROR(SEARCH('80-120'!$A$5,$F19)),0,1)</f>
        <v>1</v>
      </c>
      <c r="H19" s="69">
        <f>IF($G19=0,"",COUNTIF($G$2:G19,1))</f>
        <v>18</v>
      </c>
      <c r="I19" s="69" t="str">
        <f t="shared" si="1"/>
        <v>ANIMAS</v>
      </c>
    </row>
    <row r="20" spans="1:9">
      <c r="A20" s="67" t="s">
        <v>140</v>
      </c>
      <c r="B20" s="67" t="s">
        <v>142</v>
      </c>
      <c r="C20" s="67" t="s">
        <v>32</v>
      </c>
      <c r="D20" s="67" t="s">
        <v>675</v>
      </c>
      <c r="E20" s="68">
        <f t="shared" si="0"/>
        <v>85</v>
      </c>
      <c r="F20" s="68" t="str">
        <f>IFERROR(INDEX($A$2:$A$226,MATCH(ROWS($E$2:E20),$E$2:$E$226,0)),"")</f>
        <v>ARTESIA</v>
      </c>
      <c r="G20" s="69">
        <f>IF(ISERROR(SEARCH('80-120'!$A$5,$F20)),0,1)</f>
        <v>1</v>
      </c>
      <c r="H20" s="69">
        <f>IF($G20=0,"",COUNTIF($G$2:G20,1))</f>
        <v>19</v>
      </c>
      <c r="I20" s="69" t="str">
        <f t="shared" si="1"/>
        <v>ARTESIA</v>
      </c>
    </row>
    <row r="21" spans="1:9">
      <c r="A21" s="67" t="s">
        <v>146</v>
      </c>
      <c r="B21" s="67" t="s">
        <v>148</v>
      </c>
      <c r="C21" s="67" t="s">
        <v>32</v>
      </c>
      <c r="D21" s="67" t="s">
        <v>675</v>
      </c>
      <c r="E21" s="68">
        <f t="shared" si="0"/>
        <v>96</v>
      </c>
      <c r="F21" s="68" t="str">
        <f>IFERROR(INDEX($A$2:$A$226,MATCH(ROWS($E$2:E21),$E$2:$E$226,0)),"")</f>
        <v>ASK ACADEMY ST. CHARTER</v>
      </c>
      <c r="G21" s="69">
        <f>IF(ISERROR(SEARCH('80-120'!$A$5,$F21)),0,1)</f>
        <v>1</v>
      </c>
      <c r="H21" s="69">
        <f>IF($G21=0,"",COUNTIF($G$2:G21,1))</f>
        <v>20</v>
      </c>
      <c r="I21" s="69" t="str">
        <f t="shared" si="1"/>
        <v>ASK ACADEMY ST. CHARTER</v>
      </c>
    </row>
    <row r="22" spans="1:9">
      <c r="A22" s="67" t="s">
        <v>154</v>
      </c>
      <c r="B22" s="67" t="s">
        <v>156</v>
      </c>
      <c r="C22" s="67" t="s">
        <v>32</v>
      </c>
      <c r="D22" s="67" t="s">
        <v>675</v>
      </c>
      <c r="E22" s="68">
        <f t="shared" si="0"/>
        <v>111</v>
      </c>
      <c r="F22" s="68" t="str">
        <f>IFERROR(INDEX($A$2:$A$226,MATCH(ROWS($E$2:E22),$E$2:$E$226,0)),"")</f>
        <v>AZTEC</v>
      </c>
      <c r="G22" s="69">
        <f>IF(ISERROR(SEARCH('80-120'!$A$5,$F22)),0,1)</f>
        <v>1</v>
      </c>
      <c r="H22" s="69">
        <f>IF($G22=0,"",COUNTIF($G$2:G22,1))</f>
        <v>21</v>
      </c>
      <c r="I22" s="69" t="str">
        <f t="shared" si="1"/>
        <v>AZTEC</v>
      </c>
    </row>
    <row r="23" spans="1:9">
      <c r="A23" s="67" t="s">
        <v>163</v>
      </c>
      <c r="B23" s="67" t="s">
        <v>165</v>
      </c>
      <c r="C23" s="67" t="s">
        <v>32</v>
      </c>
      <c r="D23" s="67" t="s">
        <v>675</v>
      </c>
      <c r="E23" s="68">
        <f t="shared" si="0"/>
        <v>117</v>
      </c>
      <c r="F23" s="68" t="str">
        <f>IFERROR(INDEX($A$2:$A$226,MATCH(ROWS($E$2:E23),$E$2:$E$226,0)),"")</f>
        <v>BELEN</v>
      </c>
      <c r="G23" s="69">
        <f>IF(ISERROR(SEARCH('80-120'!$A$5,$F23)),0,1)</f>
        <v>1</v>
      </c>
      <c r="H23" s="69">
        <f>IF($G23=0,"",COUNTIF($G$2:G23,1))</f>
        <v>22</v>
      </c>
      <c r="I23" s="69" t="str">
        <f t="shared" si="1"/>
        <v>BELEN</v>
      </c>
    </row>
    <row r="24" spans="1:9">
      <c r="A24" s="67" t="s">
        <v>169</v>
      </c>
      <c r="B24" s="67" t="s">
        <v>170</v>
      </c>
      <c r="C24" s="67" t="s">
        <v>32</v>
      </c>
      <c r="D24" s="67" t="s">
        <v>675</v>
      </c>
      <c r="E24" s="68">
        <f t="shared" si="0"/>
        <v>119</v>
      </c>
      <c r="F24" s="68" t="str">
        <f>IFERROR(INDEX($A$2:$A$226,MATCH(ROWS($E$2:E24),$E$2:$E$226,0)),"")</f>
        <v>BERNALILLO</v>
      </c>
      <c r="G24" s="69">
        <f>IF(ISERROR(SEARCH('80-120'!$A$5,$F24)),0,1)</f>
        <v>1</v>
      </c>
      <c r="H24" s="69">
        <f>IF($G24=0,"",COUNTIF($G$2:G24,1))</f>
        <v>23</v>
      </c>
      <c r="I24" s="69" t="str">
        <f t="shared" si="1"/>
        <v>BERNALILLO</v>
      </c>
    </row>
    <row r="25" spans="1:9">
      <c r="A25" s="67" t="s">
        <v>174</v>
      </c>
      <c r="B25" s="67" t="s">
        <v>176</v>
      </c>
      <c r="C25" s="67" t="s">
        <v>32</v>
      </c>
      <c r="D25" s="67" t="s">
        <v>675</v>
      </c>
      <c r="E25" s="68">
        <f t="shared" si="0"/>
        <v>120</v>
      </c>
      <c r="F25" s="68" t="str">
        <f>IFERROR(INDEX($A$2:$A$226,MATCH(ROWS($E$2:E25),$E$2:$E$226,0)),"")</f>
        <v>BLOOMFIELD</v>
      </c>
      <c r="G25" s="69">
        <f>IF(ISERROR(SEARCH('80-120'!$A$5,$F25)),0,1)</f>
        <v>1</v>
      </c>
      <c r="H25" s="69">
        <f>IF($G25=0,"",COUNTIF($G$2:G25,1))</f>
        <v>24</v>
      </c>
      <c r="I25" s="69" t="str">
        <f t="shared" si="1"/>
        <v>BLOOMFIELD</v>
      </c>
    </row>
    <row r="26" spans="1:9">
      <c r="A26" s="67" t="s">
        <v>181</v>
      </c>
      <c r="B26" s="67" t="s">
        <v>183</v>
      </c>
      <c r="C26" s="67" t="s">
        <v>32</v>
      </c>
      <c r="D26" s="67" t="s">
        <v>675</v>
      </c>
      <c r="E26" s="68">
        <f t="shared" si="0"/>
        <v>123</v>
      </c>
      <c r="F26" s="68" t="str">
        <f>IFERROR(INDEX($A$2:$A$226,MATCH(ROWS($E$2:E26),$E$2:$E$226,0)),"")</f>
        <v>CAPITAN</v>
      </c>
      <c r="G26" s="69">
        <f>IF(ISERROR(SEARCH('80-120'!$A$5,$F26)),0,1)</f>
        <v>1</v>
      </c>
      <c r="H26" s="69">
        <f>IF($G26=0,"",COUNTIF($G$2:G26,1))</f>
        <v>25</v>
      </c>
      <c r="I26" s="69" t="str">
        <f t="shared" si="1"/>
        <v>CAPITAN</v>
      </c>
    </row>
    <row r="27" spans="1:9">
      <c r="A27" s="67" t="s">
        <v>188</v>
      </c>
      <c r="B27" s="67" t="s">
        <v>162</v>
      </c>
      <c r="C27" s="67" t="s">
        <v>32</v>
      </c>
      <c r="D27" s="67" t="s">
        <v>675</v>
      </c>
      <c r="E27" s="68">
        <f t="shared" si="0"/>
        <v>100</v>
      </c>
      <c r="F27" s="68" t="str">
        <f>IFERROR(INDEX($A$2:$A$226,MATCH(ROWS($E$2:E27),$E$2:$E$226,0)),"")</f>
        <v>CARLSBAD</v>
      </c>
      <c r="G27" s="69">
        <f>IF(ISERROR(SEARCH('80-120'!$A$5,$F27)),0,1)</f>
        <v>1</v>
      </c>
      <c r="H27" s="69">
        <f>IF($G27=0,"",COUNTIF($G$2:G27,1))</f>
        <v>26</v>
      </c>
      <c r="I27" s="69" t="str">
        <f t="shared" si="1"/>
        <v>CARLSBAD</v>
      </c>
    </row>
    <row r="28" spans="1:9">
      <c r="A28" s="67" t="s">
        <v>193</v>
      </c>
      <c r="B28" s="67" t="s">
        <v>195</v>
      </c>
      <c r="C28" s="67" t="s">
        <v>32</v>
      </c>
      <c r="D28" s="67" t="s">
        <v>675</v>
      </c>
      <c r="E28" s="68">
        <f t="shared" si="0"/>
        <v>126</v>
      </c>
      <c r="F28" s="68" t="str">
        <f>IFERROR(INDEX($A$2:$A$226,MATCH(ROWS($E$2:E28),$E$2:$E$226,0)),"")</f>
        <v>CARRIZOZO</v>
      </c>
      <c r="G28" s="69">
        <f>IF(ISERROR(SEARCH('80-120'!$A$5,$F28)),0,1)</f>
        <v>1</v>
      </c>
      <c r="H28" s="69">
        <f>IF($G28=0,"",COUNTIF($G$2:G28,1))</f>
        <v>27</v>
      </c>
      <c r="I28" s="69" t="str">
        <f t="shared" si="1"/>
        <v>CARRIZOZO</v>
      </c>
    </row>
    <row r="29" spans="1:9">
      <c r="A29" s="67" t="s">
        <v>200</v>
      </c>
      <c r="B29" s="67" t="s">
        <v>202</v>
      </c>
      <c r="C29" s="67" t="s">
        <v>32</v>
      </c>
      <c r="D29" s="67" t="s">
        <v>675</v>
      </c>
      <c r="E29" s="68">
        <f t="shared" si="0"/>
        <v>140</v>
      </c>
      <c r="F29" s="68" t="str">
        <f>IFERROR(INDEX($A$2:$A$226,MATCH(ROWS($E$2:E29),$E$2:$E$226,0)),"")</f>
        <v>CENTRAL CONS.</v>
      </c>
      <c r="G29" s="69">
        <f>IF(ISERROR(SEARCH('80-120'!$A$5,$F29)),0,1)</f>
        <v>1</v>
      </c>
      <c r="H29" s="69">
        <f>IF($G29=0,"",COUNTIF($G$2:G29,1))</f>
        <v>28</v>
      </c>
      <c r="I29" s="69" t="str">
        <f t="shared" si="1"/>
        <v>CENTRAL CONS.</v>
      </c>
    </row>
    <row r="30" spans="1:9">
      <c r="A30" s="67" t="s">
        <v>207</v>
      </c>
      <c r="B30" s="67" t="s">
        <v>209</v>
      </c>
      <c r="C30" s="67" t="s">
        <v>32</v>
      </c>
      <c r="D30" s="67" t="s">
        <v>675</v>
      </c>
      <c r="E30" s="68">
        <f t="shared" si="0"/>
        <v>152</v>
      </c>
      <c r="F30" s="68" t="str">
        <f>IFERROR(INDEX($A$2:$A$226,MATCH(ROWS($E$2:E30),$E$2:$E$226,0)),"")</f>
        <v>CESAR CHAVEZ COMM. ST. CHARTER</v>
      </c>
      <c r="G30" s="69">
        <f>IF(ISERROR(SEARCH('80-120'!$A$5,$F30)),0,1)</f>
        <v>1</v>
      </c>
      <c r="H30" s="69">
        <f>IF($G30=0,"",COUNTIF($G$2:G30,1))</f>
        <v>29</v>
      </c>
      <c r="I30" s="69" t="str">
        <f t="shared" si="1"/>
        <v>CESAR CHAVEZ COMM. ST. CHARTER</v>
      </c>
    </row>
    <row r="31" spans="1:9">
      <c r="A31" s="67" t="s">
        <v>213</v>
      </c>
      <c r="B31" s="67" t="s">
        <v>215</v>
      </c>
      <c r="C31" s="67" t="s">
        <v>32</v>
      </c>
      <c r="D31" s="67" t="s">
        <v>675</v>
      </c>
      <c r="E31" s="68">
        <f t="shared" si="0"/>
        <v>157</v>
      </c>
      <c r="F31" s="68" t="str">
        <f>IFERROR(INDEX($A$2:$A$226,MATCH(ROWS($E$2:E31),$E$2:$E$226,0)),"")</f>
        <v>CHAMA VALLEY</v>
      </c>
      <c r="G31" s="69">
        <f>IF(ISERROR(SEARCH('80-120'!$A$5,$F31)),0,1)</f>
        <v>1</v>
      </c>
      <c r="H31" s="69">
        <f>IF($G31=0,"",COUNTIF($G$2:G31,1))</f>
        <v>30</v>
      </c>
      <c r="I31" s="69" t="str">
        <f t="shared" si="1"/>
        <v>CHAMA VALLEY</v>
      </c>
    </row>
    <row r="32" spans="1:9">
      <c r="A32" s="67" t="s">
        <v>220</v>
      </c>
      <c r="B32" s="67" t="s">
        <v>222</v>
      </c>
      <c r="C32" s="67" t="s">
        <v>32</v>
      </c>
      <c r="D32" s="67" t="s">
        <v>675</v>
      </c>
      <c r="E32" s="68">
        <f t="shared" si="0"/>
        <v>169</v>
      </c>
      <c r="F32" s="68" t="str">
        <f>IFERROR(INDEX($A$2:$A$226,MATCH(ROWS($E$2:E32),$E$2:$E$226,0)),"")</f>
        <v>CHRISTINE DUNCAN COMMUNITY</v>
      </c>
      <c r="G32" s="69">
        <f>IF(ISERROR(SEARCH('80-120'!$A$5,$F32)),0,1)</f>
        <v>1</v>
      </c>
      <c r="H32" s="69">
        <f>IF($G32=0,"",COUNTIF($G$2:G32,1))</f>
        <v>31</v>
      </c>
      <c r="I32" s="69" t="str">
        <f t="shared" si="1"/>
        <v>CHRISTINE DUNCAN COMMUNITY</v>
      </c>
    </row>
    <row r="33" spans="1:9">
      <c r="A33" s="70" t="s">
        <v>224</v>
      </c>
      <c r="B33" s="70" t="s">
        <v>226</v>
      </c>
      <c r="C33" s="71" t="s">
        <v>32</v>
      </c>
      <c r="D33" s="71" t="s">
        <v>675</v>
      </c>
      <c r="E33" s="68">
        <f t="shared" si="0"/>
        <v>182</v>
      </c>
      <c r="F33" s="68" t="str">
        <f>IFERROR(INDEX($A$2:$A$226,MATCH(ROWS($E$2:E33),$E$2:$E$226,0)),"")</f>
        <v>CIEN AGUAS INTERNATIONAL</v>
      </c>
      <c r="G33" s="69">
        <f>IF(ISERROR(SEARCH('80-120'!$A$5,$F33)),0,1)</f>
        <v>1</v>
      </c>
      <c r="H33" s="69">
        <f>IF($G33=0,"",COUNTIF($G$2:G33,1))</f>
        <v>32</v>
      </c>
      <c r="I33" s="69" t="str">
        <f t="shared" si="1"/>
        <v>CIEN AGUAS INTERNATIONAL</v>
      </c>
    </row>
    <row r="34" spans="1:9">
      <c r="A34" s="67" t="s">
        <v>227</v>
      </c>
      <c r="B34" s="67" t="s">
        <v>229</v>
      </c>
      <c r="C34" s="67" t="s">
        <v>32</v>
      </c>
      <c r="D34" s="67" t="s">
        <v>675</v>
      </c>
      <c r="E34" s="68">
        <f t="shared" si="0"/>
        <v>186</v>
      </c>
      <c r="F34" s="68" t="str">
        <f>IFERROR(INDEX($A$2:$A$226,MATCH(ROWS($E$2:E34),$E$2:$E$226,0)),"")</f>
        <v>CIMARRON</v>
      </c>
      <c r="G34" s="69">
        <f>IF(ISERROR(SEARCH('80-120'!$A$5,$F34)),0,1)</f>
        <v>1</v>
      </c>
      <c r="H34" s="69">
        <f>IF($G34=0,"",COUNTIF($G$2:G34,1))</f>
        <v>33</v>
      </c>
      <c r="I34" s="69" t="str">
        <f t="shared" si="1"/>
        <v>CIMARRON</v>
      </c>
    </row>
    <row r="35" spans="1:9">
      <c r="A35" s="67"/>
      <c r="B35" s="67"/>
      <c r="C35" s="67"/>
      <c r="D35" s="67"/>
      <c r="E35" s="68">
        <f t="shared" si="0"/>
        <v>0</v>
      </c>
      <c r="F35" s="68" t="str">
        <f>IFERROR(INDEX($A$2:$A$226,MATCH(ROWS($E$2:E35),$E$2:$E$226,0)),"")</f>
        <v>CLAYTON</v>
      </c>
      <c r="G35" s="69">
        <f>IF(ISERROR(SEARCH('80-120'!$A$5,$F35)),0,1)</f>
        <v>1</v>
      </c>
      <c r="H35" s="69">
        <f>IF($G35=0,"",COUNTIF($G$2:G35,1))</f>
        <v>34</v>
      </c>
      <c r="I35" s="69" t="str">
        <f t="shared" si="1"/>
        <v>CLAYTON</v>
      </c>
    </row>
    <row r="36" spans="1:9">
      <c r="A36" s="67" t="s">
        <v>137</v>
      </c>
      <c r="B36" s="67" t="s">
        <v>138</v>
      </c>
      <c r="C36" s="67" t="s">
        <v>26</v>
      </c>
      <c r="D36" s="67" t="s">
        <v>676</v>
      </c>
      <c r="E36" s="68">
        <f t="shared" si="0"/>
        <v>18</v>
      </c>
      <c r="F36" s="68" t="str">
        <f>IFERROR(INDEX($A$2:$A$226,MATCH(ROWS($E$2:E36),$E$2:$E$226,0)),"")</f>
        <v>CLOUDCROFT</v>
      </c>
      <c r="G36" s="69">
        <f>IF(ISERROR(SEARCH('80-120'!$A$5,$F36)),0,1)</f>
        <v>1</v>
      </c>
      <c r="H36" s="69">
        <f>IF($G36=0,"",COUNTIF($G$2:G36,1))</f>
        <v>35</v>
      </c>
      <c r="I36" s="69" t="str">
        <f t="shared" si="1"/>
        <v>CLOUDCROFT</v>
      </c>
    </row>
    <row r="37" spans="1:9">
      <c r="A37" s="67" t="s">
        <v>143</v>
      </c>
      <c r="B37" s="67" t="s">
        <v>145</v>
      </c>
      <c r="C37" s="67" t="s">
        <v>26</v>
      </c>
      <c r="D37" s="67" t="s">
        <v>677</v>
      </c>
      <c r="E37" s="68">
        <f t="shared" si="0"/>
        <v>19</v>
      </c>
      <c r="F37" s="68" t="str">
        <f>IFERROR(INDEX($A$2:$A$226,MATCH(ROWS($E$2:E37),$E$2:$E$226,0)),"")</f>
        <v>CLOVIS</v>
      </c>
      <c r="G37" s="69">
        <f>IF(ISERROR(SEARCH('80-120'!$A$5,$F37)),0,1)</f>
        <v>1</v>
      </c>
      <c r="H37" s="69">
        <f>IF($G37=0,"",COUNTIF($G$2:G37,1))</f>
        <v>36</v>
      </c>
      <c r="I37" s="69" t="str">
        <f t="shared" si="1"/>
        <v>CLOVIS</v>
      </c>
    </row>
    <row r="38" spans="1:9">
      <c r="A38" s="67" t="s">
        <v>157</v>
      </c>
      <c r="B38" s="67" t="s">
        <v>159</v>
      </c>
      <c r="C38" s="67" t="s">
        <v>26</v>
      </c>
      <c r="D38" s="67" t="s">
        <v>678</v>
      </c>
      <c r="E38" s="68">
        <f t="shared" si="0"/>
        <v>21</v>
      </c>
      <c r="F38" s="68" t="str">
        <f>IFERROR(INDEX($A$2:$A$226,MATCH(ROWS($E$2:E38),$E$2:$E$226,0)),"")</f>
        <v>COBRE CONS.</v>
      </c>
      <c r="G38" s="69">
        <f>IF(ISERROR(SEARCH('80-120'!$A$5,$F38)),0,1)</f>
        <v>1</v>
      </c>
      <c r="H38" s="69">
        <f>IF($G38=0,"",COUNTIF($G$2:G38,1))</f>
        <v>37</v>
      </c>
      <c r="I38" s="69" t="str">
        <f t="shared" si="1"/>
        <v>COBRE CONS.</v>
      </c>
    </row>
    <row r="39" spans="1:9">
      <c r="A39" s="67" t="s">
        <v>246</v>
      </c>
      <c r="B39" s="67" t="s">
        <v>247</v>
      </c>
      <c r="C39" s="67" t="s">
        <v>32</v>
      </c>
      <c r="D39" s="67" t="s">
        <v>678</v>
      </c>
      <c r="E39" s="68">
        <f t="shared" si="0"/>
        <v>115</v>
      </c>
      <c r="F39" s="68" t="str">
        <f>IFERROR(INDEX($A$2:$A$226,MATCH(ROWS($E$2:E39),$E$2:$E$226,0)),"")</f>
        <v>CORAL COMMUNITY</v>
      </c>
      <c r="G39" s="69">
        <f>IF(ISERROR(SEARCH('80-120'!$A$5,$F39)),0,1)</f>
        <v>1</v>
      </c>
      <c r="H39" s="69">
        <f>IF($G39=0,"",COUNTIF($G$2:G39,1))</f>
        <v>38</v>
      </c>
      <c r="I39" s="69" t="str">
        <f t="shared" si="1"/>
        <v>CORAL COMMUNITY</v>
      </c>
    </row>
    <row r="40" spans="1:9">
      <c r="A40" s="67"/>
      <c r="B40" s="67"/>
      <c r="C40" s="67"/>
      <c r="D40" s="67"/>
      <c r="E40" s="68">
        <f t="shared" si="0"/>
        <v>0</v>
      </c>
      <c r="F40" s="68" t="str">
        <f>IFERROR(INDEX($A$2:$A$226,MATCH(ROWS($E$2:E40),$E$2:$E$226,0)),"")</f>
        <v>CORONA</v>
      </c>
      <c r="G40" s="69">
        <f>IF(ISERROR(SEARCH('80-120'!$A$5,$F40)),0,1)</f>
        <v>1</v>
      </c>
      <c r="H40" s="69">
        <f>IF($G40=0,"",COUNTIF($G$2:G40,1))</f>
        <v>39</v>
      </c>
      <c r="I40" s="69" t="str">
        <f t="shared" si="1"/>
        <v>CORONA</v>
      </c>
    </row>
    <row r="41" spans="1:9">
      <c r="A41" s="67" t="s">
        <v>166</v>
      </c>
      <c r="B41" s="67" t="s">
        <v>168</v>
      </c>
      <c r="C41" s="67" t="s">
        <v>26</v>
      </c>
      <c r="D41" s="67" t="s">
        <v>679</v>
      </c>
      <c r="E41" s="68">
        <f t="shared" si="0"/>
        <v>22</v>
      </c>
      <c r="F41" s="68" t="str">
        <f>IFERROR(INDEX($A$2:$A$226,MATCH(ROWS($E$2:E41),$E$2:$E$226,0)),"")</f>
        <v>CORRALES INTERNATIONAL</v>
      </c>
      <c r="G41" s="69">
        <f>IF(ISERROR(SEARCH('80-120'!$A$5,$F41)),0,1)</f>
        <v>1</v>
      </c>
      <c r="H41" s="69">
        <f>IF($G41=0,"",COUNTIF($G$2:G41,1))</f>
        <v>40</v>
      </c>
      <c r="I41" s="69" t="str">
        <f t="shared" si="1"/>
        <v>CORRALES INTERNATIONAL</v>
      </c>
    </row>
    <row r="42" spans="1:9">
      <c r="A42" s="67" t="s">
        <v>171</v>
      </c>
      <c r="B42" s="67" t="s">
        <v>172</v>
      </c>
      <c r="C42" s="67" t="s">
        <v>26</v>
      </c>
      <c r="D42" s="67" t="s">
        <v>680</v>
      </c>
      <c r="E42" s="68">
        <f t="shared" si="0"/>
        <v>23</v>
      </c>
      <c r="F42" s="68" t="str">
        <f>IFERROR(INDEX($A$2:$A$226,MATCH(ROWS($E$2:E42),$E$2:$E$226,0)),"")</f>
        <v>COTTONWOOD CLASSICAL ST. CHARTER</v>
      </c>
      <c r="G42" s="69">
        <f>IF(ISERROR(SEARCH('80-120'!$A$5,$F42)),0,1)</f>
        <v>1</v>
      </c>
      <c r="H42" s="69">
        <f>IF($G42=0,"",COUNTIF($G$2:G42,1))</f>
        <v>41</v>
      </c>
      <c r="I42" s="69" t="str">
        <f t="shared" si="1"/>
        <v>COTTONWOOD CLASSICAL ST. CHARTER</v>
      </c>
    </row>
    <row r="43" spans="1:9">
      <c r="A43" s="67" t="s">
        <v>177</v>
      </c>
      <c r="B43" s="67" t="s">
        <v>179</v>
      </c>
      <c r="C43" s="67" t="s">
        <v>26</v>
      </c>
      <c r="D43" s="67" t="s">
        <v>678</v>
      </c>
      <c r="E43" s="68">
        <f t="shared" si="0"/>
        <v>24</v>
      </c>
      <c r="F43" s="68" t="str">
        <f>IFERROR(INDEX($A$2:$A$226,MATCH(ROWS($E$2:E43),$E$2:$E$226,0)),"")</f>
        <v>COTTONWOOD VALLEY CHARTER</v>
      </c>
      <c r="G43" s="69">
        <f>IF(ISERROR(SEARCH('80-120'!$A$5,$F43)),0,1)</f>
        <v>1</v>
      </c>
      <c r="H43" s="69">
        <f>IF($G43=0,"",COUNTIF($G$2:G43,1))</f>
        <v>42</v>
      </c>
      <c r="I43" s="69" t="str">
        <f t="shared" si="1"/>
        <v>COTTONWOOD VALLEY CHARTER</v>
      </c>
    </row>
    <row r="44" spans="1:9">
      <c r="A44" s="67" t="s">
        <v>184</v>
      </c>
      <c r="B44" s="67" t="s">
        <v>186</v>
      </c>
      <c r="C44" s="67" t="s">
        <v>26</v>
      </c>
      <c r="D44" s="67" t="s">
        <v>681</v>
      </c>
      <c r="E44" s="68">
        <f t="shared" si="0"/>
        <v>25</v>
      </c>
      <c r="F44" s="68" t="str">
        <f>IFERROR(INDEX($A$2:$A$226,MATCH(ROWS($E$2:E44),$E$2:$E$226,0)),"")</f>
        <v>CUBA</v>
      </c>
      <c r="G44" s="69">
        <f>IF(ISERROR(SEARCH('80-120'!$A$5,$F44)),0,1)</f>
        <v>1</v>
      </c>
      <c r="H44" s="69">
        <f>IF($G44=0,"",COUNTIF($G$2:G44,1))</f>
        <v>43</v>
      </c>
      <c r="I44" s="69" t="str">
        <f t="shared" si="1"/>
        <v>CUBA</v>
      </c>
    </row>
    <row r="45" spans="1:9">
      <c r="A45" s="67" t="s">
        <v>189</v>
      </c>
      <c r="B45" s="67" t="s">
        <v>191</v>
      </c>
      <c r="C45" s="67" t="s">
        <v>26</v>
      </c>
      <c r="D45" s="67" t="s">
        <v>682</v>
      </c>
      <c r="E45" s="68">
        <f t="shared" si="0"/>
        <v>26</v>
      </c>
      <c r="F45" s="68" t="str">
        <f>IFERROR(INDEX($A$2:$A$226,MATCH(ROWS($E$2:E45),$E$2:$E$226,0)),"")</f>
        <v>DEAP</v>
      </c>
      <c r="G45" s="69">
        <f>IF(ISERROR(SEARCH('80-120'!$A$5,$F45)),0,1)</f>
        <v>1</v>
      </c>
      <c r="H45" s="69">
        <f>IF($G45=0,"",COUNTIF($G$2:G45,1))</f>
        <v>44</v>
      </c>
      <c r="I45" s="69" t="str">
        <f t="shared" si="1"/>
        <v>DEAP</v>
      </c>
    </row>
    <row r="46" spans="1:9">
      <c r="A46" s="67" t="s">
        <v>266</v>
      </c>
      <c r="B46" s="67" t="s">
        <v>261</v>
      </c>
      <c r="C46" s="67" t="s">
        <v>32</v>
      </c>
      <c r="D46" s="67" t="s">
        <v>682</v>
      </c>
      <c r="E46" s="68">
        <f t="shared" si="0"/>
        <v>82</v>
      </c>
      <c r="F46" s="68" t="str">
        <f>IFERROR(INDEX($A$2:$A$226,MATCH(ROWS($E$2:E46),$E$2:$E$226,0)),"")</f>
        <v>DEMING</v>
      </c>
      <c r="G46" s="69">
        <f>IF(ISERROR(SEARCH('80-120'!$A$5,$F46)),0,1)</f>
        <v>1</v>
      </c>
      <c r="H46" s="69">
        <f>IF($G46=0,"",COUNTIF($G$2:G46,1))</f>
        <v>45</v>
      </c>
      <c r="I46" s="69" t="str">
        <f t="shared" si="1"/>
        <v>DEMING</v>
      </c>
    </row>
    <row r="47" spans="1:9">
      <c r="A47" s="67" t="s">
        <v>273</v>
      </c>
      <c r="B47" s="67" t="s">
        <v>269</v>
      </c>
      <c r="C47" s="67" t="s">
        <v>32</v>
      </c>
      <c r="D47" s="67" t="s">
        <v>682</v>
      </c>
      <c r="E47" s="68">
        <f t="shared" si="0"/>
        <v>128</v>
      </c>
      <c r="F47" s="68" t="str">
        <f>IFERROR(INDEX($A$2:$A$226,MATCH(ROWS($E$2:E47),$E$2:$E$226,0)),"")</f>
        <v>DEMING CESAR CHAVEZ</v>
      </c>
      <c r="G47" s="69">
        <f>IF(ISERROR(SEARCH('80-120'!$A$5,$F47)),0,1)</f>
        <v>1</v>
      </c>
      <c r="H47" s="69">
        <f>IF($G47=0,"",COUNTIF($G$2:G47,1))</f>
        <v>46</v>
      </c>
      <c r="I47" s="69" t="str">
        <f t="shared" si="1"/>
        <v>DEMING CESAR CHAVEZ</v>
      </c>
    </row>
    <row r="48" spans="1:9">
      <c r="A48" s="67"/>
      <c r="B48" s="67"/>
      <c r="C48" s="67"/>
      <c r="D48" s="67"/>
      <c r="E48" s="68">
        <f t="shared" si="0"/>
        <v>0</v>
      </c>
      <c r="F48" s="68" t="str">
        <f>IFERROR(INDEX($A$2:$A$226,MATCH(ROWS($E$2:E48),$E$2:$E$226,0)),"")</f>
        <v>DES MOINES</v>
      </c>
      <c r="G48" s="69">
        <f>IF(ISERROR(SEARCH('80-120'!$A$5,$F48)),0,1)</f>
        <v>1</v>
      </c>
      <c r="H48" s="69">
        <f>IF($G48=0,"",COUNTIF($G$2:G48,1))</f>
        <v>47</v>
      </c>
      <c r="I48" s="69" t="str">
        <f t="shared" si="1"/>
        <v>DES MOINES</v>
      </c>
    </row>
    <row r="49" spans="1:9">
      <c r="A49" s="67" t="s">
        <v>196</v>
      </c>
      <c r="B49" s="67" t="s">
        <v>198</v>
      </c>
      <c r="C49" s="67" t="s">
        <v>26</v>
      </c>
      <c r="D49" s="67" t="s">
        <v>683</v>
      </c>
      <c r="E49" s="68">
        <f t="shared" si="0"/>
        <v>27</v>
      </c>
      <c r="F49" s="68" t="str">
        <f>IFERROR(INDEX($A$2:$A$226,MATCH(ROWS($E$2:E49),$E$2:$E$226,0)),"")</f>
        <v>DEXTER</v>
      </c>
      <c r="G49" s="69">
        <f>IF(ISERROR(SEARCH('80-120'!$A$5,$F49)),0,1)</f>
        <v>1</v>
      </c>
      <c r="H49" s="69">
        <f>IF($G49=0,"",COUNTIF($G$2:G49,1))</f>
        <v>48</v>
      </c>
      <c r="I49" s="69" t="str">
        <f t="shared" si="1"/>
        <v>DEXTER</v>
      </c>
    </row>
    <row r="50" spans="1:9">
      <c r="A50" s="67" t="s">
        <v>203</v>
      </c>
      <c r="B50" s="67" t="s">
        <v>205</v>
      </c>
      <c r="C50" s="67" t="s">
        <v>26</v>
      </c>
      <c r="D50" s="67" t="s">
        <v>678</v>
      </c>
      <c r="E50" s="68">
        <f t="shared" si="0"/>
        <v>28</v>
      </c>
      <c r="F50" s="68" t="str">
        <f>IFERROR(INDEX($A$2:$A$226,MATCH(ROWS($E$2:E50),$E$2:$E$226,0)),"")</f>
        <v>DIGITAL ARTS &amp; TECH ACADEMY</v>
      </c>
      <c r="G50" s="69">
        <f>IF(ISERROR(SEARCH('80-120'!$A$5,$F50)),0,1)</f>
        <v>1</v>
      </c>
      <c r="H50" s="69">
        <f>IF($G50=0,"",COUNTIF($G$2:G50,1))</f>
        <v>49</v>
      </c>
      <c r="I50" s="69" t="str">
        <f t="shared" si="1"/>
        <v>DIGITAL ARTS &amp; TECH ACADEMY</v>
      </c>
    </row>
    <row r="51" spans="1:9">
      <c r="A51" s="67" t="s">
        <v>286</v>
      </c>
      <c r="B51" s="67" t="s">
        <v>282</v>
      </c>
      <c r="C51" s="67" t="s">
        <v>32</v>
      </c>
      <c r="D51" s="67" t="s">
        <v>678</v>
      </c>
      <c r="E51" s="68">
        <f t="shared" si="0"/>
        <v>51</v>
      </c>
      <c r="F51" s="68" t="str">
        <f>IFERROR(INDEX($A$2:$A$226,MATCH(ROWS($E$2:E51),$E$2:$E$226,0)),"")</f>
        <v>DORA</v>
      </c>
      <c r="G51" s="69">
        <f>IF(ISERROR(SEARCH('80-120'!$A$5,$F51)),0,1)</f>
        <v>1</v>
      </c>
      <c r="H51" s="69">
        <f>IF($G51=0,"",COUNTIF($G$2:G51,1))</f>
        <v>50</v>
      </c>
      <c r="I51" s="69" t="str">
        <f t="shared" si="1"/>
        <v>DORA</v>
      </c>
    </row>
    <row r="52" spans="1:9">
      <c r="A52" s="67"/>
      <c r="B52" s="67"/>
      <c r="C52" s="67"/>
      <c r="D52" s="67"/>
      <c r="E52" s="68">
        <f t="shared" si="0"/>
        <v>0</v>
      </c>
      <c r="F52" s="68" t="str">
        <f>IFERROR(INDEX($A$2:$A$226,MATCH(ROWS($E$2:E52),$E$2:$E$226,0)),"")</f>
        <v>DREAM DINE'</v>
      </c>
      <c r="G52" s="69">
        <f>IF(ISERROR(SEARCH('80-120'!$A$5,$F52)),0,1)</f>
        <v>1</v>
      </c>
      <c r="H52" s="69">
        <f>IF($G52=0,"",COUNTIF($G$2:G52,1))</f>
        <v>51</v>
      </c>
      <c r="I52" s="69" t="str">
        <f t="shared" si="1"/>
        <v>DREAM DINE'</v>
      </c>
    </row>
    <row r="53" spans="1:9">
      <c r="A53" s="67" t="s">
        <v>216</v>
      </c>
      <c r="B53" s="67" t="s">
        <v>218</v>
      </c>
      <c r="C53" s="67" t="s">
        <v>26</v>
      </c>
      <c r="D53" s="67" t="s">
        <v>684</v>
      </c>
      <c r="E53" s="68">
        <f t="shared" si="0"/>
        <v>30</v>
      </c>
      <c r="F53" s="68" t="str">
        <f>IFERROR(INDEX($A$2:$A$226,MATCH(ROWS($E$2:E53),$E$2:$E$226,0)),"")</f>
        <v>DULCE</v>
      </c>
      <c r="G53" s="69">
        <f>IF(ISERROR(SEARCH('80-120'!$A$5,$F53)),0,1)</f>
        <v>1</v>
      </c>
      <c r="H53" s="69">
        <f>IF($G53=0,"",COUNTIF($G$2:G53,1))</f>
        <v>52</v>
      </c>
      <c r="I53" s="69" t="str">
        <f t="shared" si="1"/>
        <v>DULCE</v>
      </c>
    </row>
    <row r="54" spans="1:9">
      <c r="A54" s="67" t="s">
        <v>230</v>
      </c>
      <c r="B54" s="67" t="s">
        <v>232</v>
      </c>
      <c r="C54" s="67" t="s">
        <v>26</v>
      </c>
      <c r="D54" s="67" t="s">
        <v>685</v>
      </c>
      <c r="E54" s="68">
        <f t="shared" si="0"/>
        <v>33</v>
      </c>
      <c r="F54" s="68" t="str">
        <f>IFERROR(INDEX($A$2:$A$226,MATCH(ROWS($E$2:E54),$E$2:$E$226,0)),"")</f>
        <v>EAST MOUNTAIN</v>
      </c>
      <c r="G54" s="69">
        <f>IF(ISERROR(SEARCH('80-120'!$A$5,$F54)),0,1)</f>
        <v>1</v>
      </c>
      <c r="H54" s="69">
        <f>IF($G54=0,"",COUNTIF($G$2:G54,1))</f>
        <v>53</v>
      </c>
      <c r="I54" s="69" t="str">
        <f t="shared" si="1"/>
        <v>EAST MOUNTAIN</v>
      </c>
    </row>
    <row r="55" spans="1:9">
      <c r="A55" s="67" t="s">
        <v>291</v>
      </c>
      <c r="B55" s="67" t="s">
        <v>292</v>
      </c>
      <c r="C55" s="67" t="s">
        <v>32</v>
      </c>
      <c r="D55" s="67" t="s">
        <v>685</v>
      </c>
      <c r="E55" s="68">
        <f t="shared" si="0"/>
        <v>113</v>
      </c>
      <c r="F55" s="68" t="str">
        <f>IFERROR(INDEX($A$2:$A$226,MATCH(ROWS($E$2:E55),$E$2:$E$226,0)),"")</f>
        <v>EL CAMINO REAL</v>
      </c>
      <c r="G55" s="69">
        <f>IF(ISERROR(SEARCH('80-120'!$A$5,$F55)),0,1)</f>
        <v>1</v>
      </c>
      <c r="H55" s="69">
        <f>IF($G55=0,"",COUNTIF($G$2:G55,1))</f>
        <v>54</v>
      </c>
      <c r="I55" s="69" t="str">
        <f t="shared" si="1"/>
        <v>EL CAMINO REAL</v>
      </c>
    </row>
    <row r="56" spans="1:9">
      <c r="A56" s="67"/>
      <c r="B56" s="67"/>
      <c r="C56" s="67"/>
      <c r="D56" s="67"/>
      <c r="E56" s="68">
        <f t="shared" si="0"/>
        <v>0</v>
      </c>
      <c r="F56" s="68" t="str">
        <f>IFERROR(INDEX($A$2:$A$226,MATCH(ROWS($E$2:E56),$E$2:$E$226,0)),"")</f>
        <v>ELIDA</v>
      </c>
      <c r="G56" s="69">
        <f>IF(ISERROR(SEARCH('80-120'!$A$5,$F56)),0,1)</f>
        <v>1</v>
      </c>
      <c r="H56" s="69">
        <f>IF($G56=0,"",COUNTIF($G$2:G56,1))</f>
        <v>55</v>
      </c>
      <c r="I56" s="69" t="str">
        <f t="shared" si="1"/>
        <v>ELIDA</v>
      </c>
    </row>
    <row r="57" spans="1:9">
      <c r="A57" s="67" t="s">
        <v>235</v>
      </c>
      <c r="B57" s="67" t="s">
        <v>237</v>
      </c>
      <c r="C57" s="67" t="s">
        <v>26</v>
      </c>
      <c r="D57" s="67" t="s">
        <v>686</v>
      </c>
      <c r="E57" s="68">
        <f t="shared" si="0"/>
        <v>34</v>
      </c>
      <c r="F57" s="68" t="str">
        <f>IFERROR(INDEX($A$2:$A$226,MATCH(ROWS($E$2:E57),$E$2:$E$226,0)),"")</f>
        <v>ESPAÑOLA</v>
      </c>
      <c r="G57" s="69">
        <f>IF(ISERROR(SEARCH('80-120'!$A$5,$F57)),0,1)</f>
        <v>1</v>
      </c>
      <c r="H57" s="69">
        <f>IF($G57=0,"",COUNTIF($G$2:G57,1))</f>
        <v>56</v>
      </c>
      <c r="I57" s="69" t="str">
        <f t="shared" si="1"/>
        <v>ESPAÑOLA</v>
      </c>
    </row>
    <row r="58" spans="1:9">
      <c r="A58" s="67" t="s">
        <v>238</v>
      </c>
      <c r="B58" s="67" t="s">
        <v>240</v>
      </c>
      <c r="C58" s="67" t="s">
        <v>26</v>
      </c>
      <c r="D58" s="67" t="s">
        <v>674</v>
      </c>
      <c r="E58" s="68">
        <f t="shared" si="0"/>
        <v>35</v>
      </c>
      <c r="F58" s="68" t="str">
        <f>IFERROR(INDEX($A$2:$A$226,MATCH(ROWS($E$2:E58),$E$2:$E$226,0)),"")</f>
        <v>ESTANCIA</v>
      </c>
      <c r="G58" s="69">
        <f>IF(ISERROR(SEARCH('80-120'!$A$5,$F58)),0,1)</f>
        <v>1</v>
      </c>
      <c r="H58" s="69">
        <f>IF($G58=0,"",COUNTIF($G$2:G58,1))</f>
        <v>57</v>
      </c>
      <c r="I58" s="69" t="str">
        <f t="shared" si="1"/>
        <v>ESTANCIA</v>
      </c>
    </row>
    <row r="59" spans="1:9">
      <c r="A59" s="67" t="s">
        <v>241</v>
      </c>
      <c r="B59" s="67" t="s">
        <v>243</v>
      </c>
      <c r="C59" s="67" t="s">
        <v>26</v>
      </c>
      <c r="D59" s="67" t="s">
        <v>687</v>
      </c>
      <c r="E59" s="68">
        <f t="shared" si="0"/>
        <v>36</v>
      </c>
      <c r="F59" s="68" t="str">
        <f>IFERROR(INDEX($A$2:$A$226,MATCH(ROWS($E$2:E59),$E$2:$E$226,0)),"")</f>
        <v>ESTANCIA VALLEY</v>
      </c>
      <c r="G59" s="69">
        <f>IF(ISERROR(SEARCH('80-120'!$A$5,$F59)),0,1)</f>
        <v>1</v>
      </c>
      <c r="H59" s="69">
        <f>IF($G59=0,"",COUNTIF($G$2:G59,1))</f>
        <v>58</v>
      </c>
      <c r="I59" s="69" t="str">
        <f t="shared" si="1"/>
        <v>ESTANCIA VALLEY</v>
      </c>
    </row>
    <row r="60" spans="1:9">
      <c r="A60" s="67" t="s">
        <v>244</v>
      </c>
      <c r="B60" s="67" t="s">
        <v>245</v>
      </c>
      <c r="C60" s="67" t="s">
        <v>26</v>
      </c>
      <c r="D60" s="67" t="s">
        <v>688</v>
      </c>
      <c r="E60" s="68">
        <f t="shared" si="0"/>
        <v>37</v>
      </c>
      <c r="F60" s="68" t="str">
        <f>IFERROR(INDEX($A$2:$A$226,MATCH(ROWS($E$2:E60),$E$2:$E$226,0)),"")</f>
        <v>EUNICE</v>
      </c>
      <c r="G60" s="69">
        <f>IF(ISERROR(SEARCH('80-120'!$A$5,$F60)),0,1)</f>
        <v>1</v>
      </c>
      <c r="H60" s="69">
        <f>IF($G60=0,"",COUNTIF($G$2:G60,1))</f>
        <v>59</v>
      </c>
      <c r="I60" s="69" t="str">
        <f t="shared" si="1"/>
        <v>EUNICE</v>
      </c>
    </row>
    <row r="61" spans="1:9">
      <c r="A61" s="67" t="s">
        <v>249</v>
      </c>
      <c r="B61" s="67" t="s">
        <v>251</v>
      </c>
      <c r="C61" s="67" t="s">
        <v>26</v>
      </c>
      <c r="D61" s="67" t="s">
        <v>689</v>
      </c>
      <c r="E61" s="68">
        <f t="shared" si="0"/>
        <v>39</v>
      </c>
      <c r="F61" s="68" t="str">
        <f>IFERROR(INDEX($A$2:$A$226,MATCH(ROWS($E$2:E61),$E$2:$E$226,0)),"")</f>
        <v>EXPLORE ACADEMY</v>
      </c>
      <c r="G61" s="69">
        <f>IF(ISERROR(SEARCH('80-120'!$A$5,$F61)),0,1)</f>
        <v>1</v>
      </c>
      <c r="H61" s="69">
        <f>IF($G61=0,"",COUNTIF($G$2:G61,1))</f>
        <v>60</v>
      </c>
      <c r="I61" s="69" t="str">
        <f t="shared" si="1"/>
        <v>EXPLORE ACADEMY</v>
      </c>
    </row>
    <row r="62" spans="1:9">
      <c r="A62" s="67" t="s">
        <v>257</v>
      </c>
      <c r="B62" s="67" t="s">
        <v>259</v>
      </c>
      <c r="C62" s="67" t="s">
        <v>26</v>
      </c>
      <c r="D62" s="67" t="s">
        <v>680</v>
      </c>
      <c r="E62" s="68">
        <f t="shared" si="0"/>
        <v>43</v>
      </c>
      <c r="F62" s="68" t="str">
        <f>IFERROR(INDEX($A$2:$A$226,MATCH(ROWS($E$2:E62),$E$2:$E$226,0)),"")</f>
        <v>EXPLORE ACADEMY - LAS CRUCES</v>
      </c>
      <c r="G62" s="69">
        <f>IF(ISERROR(SEARCH('80-120'!$A$5,$F62)),0,1)</f>
        <v>1</v>
      </c>
      <c r="H62" s="69">
        <f>IF($G62=0,"",COUNTIF($G$2:G62,1))</f>
        <v>61</v>
      </c>
      <c r="I62" s="69" t="str">
        <f t="shared" si="1"/>
        <v>EXPLORE ACADEMY - LAS CRUCES</v>
      </c>
    </row>
    <row r="63" spans="1:9">
      <c r="A63" s="67" t="s">
        <v>270</v>
      </c>
      <c r="B63" s="67" t="s">
        <v>272</v>
      </c>
      <c r="C63" s="67" t="s">
        <v>26</v>
      </c>
      <c r="D63" s="67" t="s">
        <v>690</v>
      </c>
      <c r="E63" s="68">
        <f t="shared" si="0"/>
        <v>45</v>
      </c>
      <c r="F63" s="68" t="str">
        <f>IFERROR(INDEX($A$2:$A$226,MATCH(ROWS($E$2:E63),$E$2:$E$226,0)),"")</f>
        <v>FARMINGTON</v>
      </c>
      <c r="G63" s="69">
        <f>IF(ISERROR(SEARCH('80-120'!$A$5,$F63)),0,1)</f>
        <v>1</v>
      </c>
      <c r="H63" s="69">
        <f>IF($G63=0,"",COUNTIF($G$2:G63,1))</f>
        <v>62</v>
      </c>
      <c r="I63" s="69" t="str">
        <f t="shared" si="1"/>
        <v>FARMINGTON</v>
      </c>
    </row>
    <row r="64" spans="1:9">
      <c r="A64" s="67" t="s">
        <v>274</v>
      </c>
      <c r="B64" s="67" t="s">
        <v>275</v>
      </c>
      <c r="C64" s="67" t="s">
        <v>32</v>
      </c>
      <c r="D64" s="67" t="s">
        <v>690</v>
      </c>
      <c r="E64" s="68">
        <f t="shared" si="0"/>
        <v>46</v>
      </c>
      <c r="F64" s="68" t="str">
        <f>IFERROR(INDEX($A$2:$A$226,MATCH(ROWS($E$2:E64),$E$2:$E$226,0)),"")</f>
        <v>FLOYD</v>
      </c>
      <c r="G64" s="69">
        <f>IF(ISERROR(SEARCH('80-120'!$A$5,$F64)),0,1)</f>
        <v>1</v>
      </c>
      <c r="H64" s="69">
        <f>IF($G64=0,"",COUNTIF($G$2:G64,1))</f>
        <v>63</v>
      </c>
      <c r="I64" s="69" t="str">
        <f t="shared" si="1"/>
        <v>FLOYD</v>
      </c>
    </row>
    <row r="65" spans="1:9">
      <c r="A65" s="67"/>
      <c r="B65" s="67"/>
      <c r="C65" s="67"/>
      <c r="D65" s="67"/>
      <c r="E65" s="68">
        <f t="shared" si="0"/>
        <v>0</v>
      </c>
      <c r="F65" s="68" t="str">
        <f>IFERROR(INDEX($A$2:$A$226,MATCH(ROWS($E$2:E65),$E$2:$E$226,0)),"")</f>
        <v>FT. SUMNER</v>
      </c>
      <c r="G65" s="69">
        <f>IF(ISERROR(SEARCH('80-120'!$A$5,$F65)),0,1)</f>
        <v>1</v>
      </c>
      <c r="H65" s="69">
        <f>IF($G65=0,"",COUNTIF($G$2:G65,1))</f>
        <v>64</v>
      </c>
      <c r="I65" s="69" t="str">
        <f t="shared" si="1"/>
        <v>FT. SUMNER</v>
      </c>
    </row>
    <row r="66" spans="1:9">
      <c r="A66" s="67" t="s">
        <v>277</v>
      </c>
      <c r="B66" s="67" t="s">
        <v>279</v>
      </c>
      <c r="C66" s="67" t="s">
        <v>26</v>
      </c>
      <c r="D66" s="67" t="s">
        <v>691</v>
      </c>
      <c r="E66" s="68">
        <f t="shared" ref="E66:E129" si="2">COUNTIF($A$2:$A$226,"&lt;="&amp;A66)</f>
        <v>47</v>
      </c>
      <c r="F66" s="68" t="str">
        <f>IFERROR(INDEX($A$2:$A$226,MATCH(ROWS($E$2:E66),$E$2:$E$226,0)),"")</f>
        <v>GADSDEN</v>
      </c>
      <c r="G66" s="69">
        <f>IF(ISERROR(SEARCH('80-120'!$A$5,$F66)),0,1)</f>
        <v>1</v>
      </c>
      <c r="H66" s="69">
        <f>IF($G66=0,"",COUNTIF($G$2:G66,1))</f>
        <v>65</v>
      </c>
      <c r="I66" s="69" t="str">
        <f t="shared" ref="I66:I129" si="3">IFERROR(INDEX(F65:F290,MATCH(ROW(H65),H65:H290,0)),"")</f>
        <v>GADSDEN</v>
      </c>
    </row>
    <row r="67" spans="1:9">
      <c r="A67" s="67" t="s">
        <v>283</v>
      </c>
      <c r="B67" s="67" t="s">
        <v>284</v>
      </c>
      <c r="C67" s="67" t="s">
        <v>26</v>
      </c>
      <c r="D67" s="67" t="s">
        <v>692</v>
      </c>
      <c r="E67" s="68">
        <f t="shared" si="2"/>
        <v>48</v>
      </c>
      <c r="F67" s="68" t="str">
        <f>IFERROR(INDEX($A$2:$A$226,MATCH(ROWS($E$2:E67),$E$2:$E$226,0)),"")</f>
        <v>GALLUP</v>
      </c>
      <c r="G67" s="69">
        <f>IF(ISERROR(SEARCH('80-120'!$A$5,$F67)),0,1)</f>
        <v>1</v>
      </c>
      <c r="H67" s="69">
        <f>IF($G67=0,"",COUNTIF($G$2:G67,1))</f>
        <v>66</v>
      </c>
      <c r="I67" s="69" t="str">
        <f t="shared" si="3"/>
        <v>GALLUP</v>
      </c>
    </row>
    <row r="68" spans="1:9">
      <c r="A68" s="67" t="s">
        <v>287</v>
      </c>
      <c r="B68" s="67" t="s">
        <v>289</v>
      </c>
      <c r="C68" s="67" t="s">
        <v>26</v>
      </c>
      <c r="D68" s="67" t="s">
        <v>693</v>
      </c>
      <c r="E68" s="68">
        <f t="shared" si="2"/>
        <v>50</v>
      </c>
      <c r="F68" s="68" t="str">
        <f>IFERROR(INDEX($A$2:$A$226,MATCH(ROWS($E$2:E68),$E$2:$E$226,0)),"")</f>
        <v>GILBERT L. SENA CHARTER</v>
      </c>
      <c r="G68" s="69">
        <f>IF(ISERROR(SEARCH('80-120'!$A$5,$F68)),0,1)</f>
        <v>1</v>
      </c>
      <c r="H68" s="69">
        <f>IF($G68=0,"",COUNTIF($G$2:G68,1))</f>
        <v>67</v>
      </c>
      <c r="I68" s="69" t="str">
        <f t="shared" si="3"/>
        <v>GILBERT L. SENA CHARTER</v>
      </c>
    </row>
    <row r="69" spans="1:9">
      <c r="A69" s="67" t="s">
        <v>293</v>
      </c>
      <c r="B69" s="67" t="s">
        <v>295</v>
      </c>
      <c r="C69" s="67" t="s">
        <v>26</v>
      </c>
      <c r="D69" s="67" t="s">
        <v>684</v>
      </c>
      <c r="E69" s="68">
        <f t="shared" si="2"/>
        <v>52</v>
      </c>
      <c r="F69" s="68" t="str">
        <f>IFERROR(INDEX($A$2:$A$226,MATCH(ROWS($E$2:E69),$E$2:$E$226,0)),"")</f>
        <v>GORDON BERNELL</v>
      </c>
      <c r="G69" s="69">
        <f>IF(ISERROR(SEARCH('80-120'!$A$5,$F69)),0,1)</f>
        <v>1</v>
      </c>
      <c r="H69" s="69">
        <f>IF($G69=0,"",COUNTIF($G$2:G69,1))</f>
        <v>68</v>
      </c>
      <c r="I69" s="69" t="str">
        <f t="shared" si="3"/>
        <v>GORDON BERNELL</v>
      </c>
    </row>
    <row r="70" spans="1:9">
      <c r="A70" s="67" t="s">
        <v>297</v>
      </c>
      <c r="B70" s="67" t="s">
        <v>299</v>
      </c>
      <c r="C70" s="67" t="s">
        <v>26</v>
      </c>
      <c r="D70" s="67" t="s">
        <v>694</v>
      </c>
      <c r="E70" s="68">
        <f t="shared" si="2"/>
        <v>55</v>
      </c>
      <c r="F70" s="68" t="str">
        <f>IFERROR(INDEX($A$2:$A$226,MATCH(ROWS($E$2:E70),$E$2:$E$226,0)),"")</f>
        <v>GRADY</v>
      </c>
      <c r="G70" s="69">
        <f>IF(ISERROR(SEARCH('80-120'!$A$5,$F70)),0,1)</f>
        <v>1</v>
      </c>
      <c r="H70" s="69">
        <f>IF($G70=0,"",COUNTIF($G$2:G70,1))</f>
        <v>69</v>
      </c>
      <c r="I70" s="69" t="str">
        <f t="shared" si="3"/>
        <v>GRADY</v>
      </c>
    </row>
    <row r="71" spans="1:9">
      <c r="A71" s="67" t="s">
        <v>300</v>
      </c>
      <c r="B71" s="67" t="s">
        <v>302</v>
      </c>
      <c r="C71" s="67" t="s">
        <v>26</v>
      </c>
      <c r="D71" s="67" t="s">
        <v>695</v>
      </c>
      <c r="E71" s="68">
        <f t="shared" si="2"/>
        <v>56</v>
      </c>
      <c r="F71" s="68" t="str">
        <f>IFERROR(INDEX($A$2:$A$226,MATCH(ROWS($E$2:E71),$E$2:$E$226,0)),"")</f>
        <v>GRANTS</v>
      </c>
      <c r="G71" s="69">
        <f>IF(ISERROR(SEARCH('80-120'!$A$5,$F71)),0,1)</f>
        <v>1</v>
      </c>
      <c r="H71" s="69">
        <f>IF($G71=0,"",COUNTIF($G$2:G71,1))</f>
        <v>70</v>
      </c>
      <c r="I71" s="69" t="str">
        <f t="shared" si="3"/>
        <v>GRANTS</v>
      </c>
    </row>
    <row r="72" spans="1:9">
      <c r="A72" s="67" t="s">
        <v>303</v>
      </c>
      <c r="B72" s="67" t="s">
        <v>305</v>
      </c>
      <c r="C72" s="67" t="s">
        <v>26</v>
      </c>
      <c r="D72" s="67" t="s">
        <v>696</v>
      </c>
      <c r="E72" s="68">
        <f t="shared" si="2"/>
        <v>57</v>
      </c>
      <c r="F72" s="68" t="str">
        <f>IFERROR(INDEX($A$2:$A$226,MATCH(ROWS($E$2:E72),$E$2:$E$226,0)),"")</f>
        <v>HAGERMAN</v>
      </c>
      <c r="G72" s="69">
        <f>IF(ISERROR(SEARCH('80-120'!$A$5,$F72)),0,1)</f>
        <v>1</v>
      </c>
      <c r="H72" s="69">
        <f>IF($G72=0,"",COUNTIF($G$2:G72,1))</f>
        <v>71</v>
      </c>
      <c r="I72" s="69" t="str">
        <f t="shared" si="3"/>
        <v>HAGERMAN</v>
      </c>
    </row>
    <row r="73" spans="1:9">
      <c r="A73" s="67" t="s">
        <v>310</v>
      </c>
      <c r="B73" s="67" t="s">
        <v>312</v>
      </c>
      <c r="C73" s="67" t="s">
        <v>26</v>
      </c>
      <c r="D73" s="67" t="s">
        <v>697</v>
      </c>
      <c r="E73" s="68">
        <f t="shared" si="2"/>
        <v>59</v>
      </c>
      <c r="F73" s="68" t="str">
        <f>IFERROR(INDEX($A$2:$A$226,MATCH(ROWS($E$2:E73),$E$2:$E$226,0)),"")</f>
        <v>HATCH</v>
      </c>
      <c r="G73" s="69">
        <f>IF(ISERROR(SEARCH('80-120'!$A$5,$F73)),0,1)</f>
        <v>1</v>
      </c>
      <c r="H73" s="69">
        <f>IF($G73=0,"",COUNTIF($G$2:G73,1))</f>
        <v>72</v>
      </c>
      <c r="I73" s="69" t="str">
        <f t="shared" si="3"/>
        <v>HATCH</v>
      </c>
    </row>
    <row r="74" spans="1:9">
      <c r="A74" s="67" t="s">
        <v>316</v>
      </c>
      <c r="B74" s="67" t="s">
        <v>318</v>
      </c>
      <c r="C74" s="67" t="s">
        <v>26</v>
      </c>
      <c r="D74" s="67" t="s">
        <v>678</v>
      </c>
      <c r="E74" s="68">
        <f t="shared" si="2"/>
        <v>62</v>
      </c>
      <c r="F74" s="68" t="str">
        <f>IFERROR(INDEX($A$2:$A$226,MATCH(ROWS($E$2:E74),$E$2:$E$226,0)),"")</f>
        <v>HEALTH LEADERSHIP CHARTER</v>
      </c>
      <c r="G74" s="69">
        <f>IF(ISERROR(SEARCH('80-120'!$A$5,$F74)),0,1)</f>
        <v>1</v>
      </c>
      <c r="H74" s="69">
        <f>IF($G74=0,"",COUNTIF($G$2:G74,1))</f>
        <v>73</v>
      </c>
      <c r="I74" s="69" t="str">
        <f t="shared" si="3"/>
        <v>HEALTH LEADERSHIP CHARTER</v>
      </c>
    </row>
    <row r="75" spans="1:9">
      <c r="A75" s="67" t="s">
        <v>319</v>
      </c>
      <c r="B75" s="67" t="s">
        <v>321</v>
      </c>
      <c r="C75" s="67" t="s">
        <v>26</v>
      </c>
      <c r="D75" s="67" t="s">
        <v>693</v>
      </c>
      <c r="E75" s="68">
        <f t="shared" si="2"/>
        <v>63</v>
      </c>
      <c r="F75" s="68" t="str">
        <f>IFERROR(INDEX($A$2:$A$226,MATCH(ROWS($E$2:E75),$E$2:$E$226,0)),"")</f>
        <v>HOBBS</v>
      </c>
      <c r="G75" s="69">
        <f>IF(ISERROR(SEARCH('80-120'!$A$5,$F75)),0,1)</f>
        <v>1</v>
      </c>
      <c r="H75" s="69">
        <f>IF($G75=0,"",COUNTIF($G$2:G75,1))</f>
        <v>74</v>
      </c>
      <c r="I75" s="69" t="str">
        <f t="shared" si="3"/>
        <v>HOBBS</v>
      </c>
    </row>
    <row r="76" spans="1:9">
      <c r="A76" s="67" t="s">
        <v>322</v>
      </c>
      <c r="B76" s="67" t="s">
        <v>323</v>
      </c>
      <c r="C76" s="67" t="s">
        <v>26</v>
      </c>
      <c r="D76" s="67" t="s">
        <v>698</v>
      </c>
      <c r="E76" s="68">
        <f t="shared" si="2"/>
        <v>64</v>
      </c>
      <c r="F76" s="68" t="str">
        <f>IFERROR(INDEX($A$2:$A$226,MATCH(ROWS($E$2:E76),$E$2:$E$226,0)),"")</f>
        <v>HONDO</v>
      </c>
      <c r="G76" s="69">
        <f>IF(ISERROR(SEARCH('80-120'!$A$5,$F76)),0,1)</f>
        <v>1</v>
      </c>
      <c r="H76" s="69">
        <f>IF($G76=0,"",COUNTIF($G$2:G76,1))</f>
        <v>75</v>
      </c>
      <c r="I76" s="69" t="str">
        <f t="shared" si="3"/>
        <v>HONDO</v>
      </c>
    </row>
    <row r="77" spans="1:9">
      <c r="A77" s="67" t="s">
        <v>325</v>
      </c>
      <c r="B77" s="67" t="s">
        <v>327</v>
      </c>
      <c r="C77" s="67" t="s">
        <v>26</v>
      </c>
      <c r="D77" s="67" t="s">
        <v>699</v>
      </c>
      <c r="E77" s="68">
        <f t="shared" si="2"/>
        <v>65</v>
      </c>
      <c r="F77" s="68" t="str">
        <f>IFERROR(INDEX($A$2:$A$226,MATCH(ROWS($E$2:E77),$E$2:$E$226,0)),"")</f>
        <v>HORIZON ACADEMY WEST ST. CHARTER</v>
      </c>
      <c r="G77" s="69">
        <f>IF(ISERROR(SEARCH('80-120'!$A$5,$F77)),0,1)</f>
        <v>1</v>
      </c>
      <c r="H77" s="69">
        <f>IF($G77=0,"",COUNTIF($G$2:G77,1))</f>
        <v>76</v>
      </c>
      <c r="I77" s="69" t="str">
        <f t="shared" si="3"/>
        <v>HORIZON ACADEMY WEST ST. CHARTER</v>
      </c>
    </row>
    <row r="78" spans="1:9">
      <c r="A78" s="67" t="s">
        <v>263</v>
      </c>
      <c r="B78" s="67" t="s">
        <v>330</v>
      </c>
      <c r="C78" s="67" t="s">
        <v>26</v>
      </c>
      <c r="D78" s="67" t="s">
        <v>700</v>
      </c>
      <c r="E78" s="68">
        <f t="shared" si="2"/>
        <v>66</v>
      </c>
      <c r="F78" s="68" t="str">
        <f>IFERROR(INDEX($A$2:$A$226,MATCH(ROWS($E$2:E78),$E$2:$E$226,0)),"")</f>
        <v>HOUSE</v>
      </c>
      <c r="G78" s="69">
        <f>IF(ISERROR(SEARCH('80-120'!$A$5,$F78)),0,1)</f>
        <v>1</v>
      </c>
      <c r="H78" s="69">
        <f>IF($G78=0,"",COUNTIF($G$2:G78,1))</f>
        <v>77</v>
      </c>
      <c r="I78" s="69" t="str">
        <f t="shared" si="3"/>
        <v>HOUSE</v>
      </c>
    </row>
    <row r="79" spans="1:9">
      <c r="A79" s="67" t="s">
        <v>331</v>
      </c>
      <c r="B79" s="67" t="s">
        <v>333</v>
      </c>
      <c r="C79" s="67" t="s">
        <v>26</v>
      </c>
      <c r="D79" s="67" t="s">
        <v>701</v>
      </c>
      <c r="E79" s="68">
        <f t="shared" si="2"/>
        <v>69</v>
      </c>
      <c r="F79" s="68" t="str">
        <f>IFERROR(INDEX($A$2:$A$226,MATCH(ROWS($E$2:E79),$E$2:$E$226,0)),"")</f>
        <v>HOZHO ACADEMY</v>
      </c>
      <c r="G79" s="69">
        <f>IF(ISERROR(SEARCH('80-120'!$A$5,$F79)),0,1)</f>
        <v>1</v>
      </c>
      <c r="H79" s="69">
        <f>IF($G79=0,"",COUNTIF($G$2:G79,1))</f>
        <v>78</v>
      </c>
      <c r="I79" s="69" t="str">
        <f t="shared" si="3"/>
        <v>HOZHO ACADEMY</v>
      </c>
    </row>
    <row r="80" spans="1:9">
      <c r="A80" s="67" t="s">
        <v>334</v>
      </c>
      <c r="B80" s="67" t="s">
        <v>336</v>
      </c>
      <c r="C80" s="67" t="s">
        <v>26</v>
      </c>
      <c r="D80" s="67" t="s">
        <v>702</v>
      </c>
      <c r="E80" s="68">
        <f t="shared" si="2"/>
        <v>70</v>
      </c>
      <c r="F80" s="68" t="str">
        <f>IFERROR(INDEX($A$2:$A$226,MATCH(ROWS($E$2:E80),$E$2:$E$226,0)),"")</f>
        <v>INT'L SCHOOL MESA DEL SOL ST. CHARTER</v>
      </c>
      <c r="G80" s="69">
        <f>IF(ISERROR(SEARCH('80-120'!$A$5,$F80)),0,1)</f>
        <v>1</v>
      </c>
      <c r="H80" s="69">
        <f>IF($G80=0,"",COUNTIF($G$2:G80,1))</f>
        <v>79</v>
      </c>
      <c r="I80" s="69" t="str">
        <f t="shared" si="3"/>
        <v>INT'L SCHOOL MESA DEL SOL ST. CHARTER</v>
      </c>
    </row>
    <row r="81" spans="1:9">
      <c r="A81" s="67" t="s">
        <v>338</v>
      </c>
      <c r="B81" s="67" t="s">
        <v>339</v>
      </c>
      <c r="C81" s="67" t="s">
        <v>26</v>
      </c>
      <c r="D81" s="67" t="s">
        <v>692</v>
      </c>
      <c r="E81" s="68">
        <f t="shared" si="2"/>
        <v>71</v>
      </c>
      <c r="F81" s="68" t="str">
        <f>IFERROR(INDEX($A$2:$A$226,MATCH(ROWS($E$2:E81),$E$2:$E$226,0)),"")</f>
        <v>J. PAUL TAYLOR ACADEMY</v>
      </c>
      <c r="G81" s="69">
        <f>IF(ISERROR(SEARCH('80-120'!$A$5,$F81)),0,1)</f>
        <v>1</v>
      </c>
      <c r="H81" s="69">
        <f>IF($G81=0,"",COUNTIF($G$2:G81,1))</f>
        <v>80</v>
      </c>
      <c r="I81" s="69" t="str">
        <f t="shared" si="3"/>
        <v>J. PAUL TAYLOR ACADEMY</v>
      </c>
    </row>
    <row r="82" spans="1:9">
      <c r="A82" s="67" t="s">
        <v>340</v>
      </c>
      <c r="B82" s="67" t="s">
        <v>342</v>
      </c>
      <c r="C82" s="67" t="s">
        <v>26</v>
      </c>
      <c r="D82" s="67" t="s">
        <v>703</v>
      </c>
      <c r="E82" s="68">
        <f t="shared" si="2"/>
        <v>72</v>
      </c>
      <c r="F82" s="68" t="str">
        <f>IFERROR(INDEX($A$2:$A$226,MATCH(ROWS($E$2:E82),$E$2:$E$226,0)),"")</f>
        <v>JAL</v>
      </c>
      <c r="G82" s="69">
        <f>IF(ISERROR(SEARCH('80-120'!$A$5,$F82)),0,1)</f>
        <v>1</v>
      </c>
      <c r="H82" s="69">
        <f>IF($G82=0,"",COUNTIF($G$2:G82,1))</f>
        <v>81</v>
      </c>
      <c r="I82" s="69" t="str">
        <f t="shared" si="3"/>
        <v>JAL</v>
      </c>
    </row>
    <row r="83" spans="1:9">
      <c r="A83" s="67" t="s">
        <v>343</v>
      </c>
      <c r="B83" s="67" t="s">
        <v>345</v>
      </c>
      <c r="C83" s="67" t="s">
        <v>26</v>
      </c>
      <c r="D83" s="67" t="s">
        <v>697</v>
      </c>
      <c r="E83" s="68">
        <f t="shared" si="2"/>
        <v>74</v>
      </c>
      <c r="F83" s="68" t="str">
        <f>IFERROR(INDEX($A$2:$A$226,MATCH(ROWS($E$2:E83),$E$2:$E$226,0)),"")</f>
        <v>JEFFERSON MONT. ACAD.</v>
      </c>
      <c r="G83" s="69">
        <f>IF(ISERROR(SEARCH('80-120'!$A$5,$F83)),0,1)</f>
        <v>1</v>
      </c>
      <c r="H83" s="69">
        <f>IF($G83=0,"",COUNTIF($G$2:G83,1))</f>
        <v>82</v>
      </c>
      <c r="I83" s="69" t="str">
        <f t="shared" si="3"/>
        <v>JEFFERSON MONT. ACAD.</v>
      </c>
    </row>
    <row r="84" spans="1:9">
      <c r="A84" s="67" t="s">
        <v>346</v>
      </c>
      <c r="B84" s="67" t="s">
        <v>347</v>
      </c>
      <c r="C84" s="67" t="s">
        <v>26</v>
      </c>
      <c r="D84" s="67" t="s">
        <v>681</v>
      </c>
      <c r="E84" s="68">
        <f t="shared" si="2"/>
        <v>75</v>
      </c>
      <c r="F84" s="68" t="str">
        <f>IFERROR(INDEX($A$2:$A$226,MATCH(ROWS($E$2:E84),$E$2:$E$226,0)),"")</f>
        <v>JEMEZ MOUNTAIN</v>
      </c>
      <c r="G84" s="69">
        <f>IF(ISERROR(SEARCH('80-120'!$A$5,$F84)),0,1)</f>
        <v>1</v>
      </c>
      <c r="H84" s="69">
        <f>IF($G84=0,"",COUNTIF($G$2:G84,1))</f>
        <v>83</v>
      </c>
      <c r="I84" s="69" t="str">
        <f t="shared" si="3"/>
        <v>JEMEZ MOUNTAIN</v>
      </c>
    </row>
    <row r="85" spans="1:9">
      <c r="A85" s="67" t="s">
        <v>351</v>
      </c>
      <c r="B85" s="67" t="s">
        <v>353</v>
      </c>
      <c r="C85" s="67" t="s">
        <v>26</v>
      </c>
      <c r="D85" s="67" t="s">
        <v>704</v>
      </c>
      <c r="E85" s="68">
        <f t="shared" si="2"/>
        <v>77</v>
      </c>
      <c r="F85" s="68" t="str">
        <f>IFERROR(INDEX($A$2:$A$226,MATCH(ROWS($E$2:E85),$E$2:$E$226,0)),"")</f>
        <v>JEMEZ VALLEY</v>
      </c>
      <c r="G85" s="69">
        <f>IF(ISERROR(SEARCH('80-120'!$A$5,$F85)),0,1)</f>
        <v>1</v>
      </c>
      <c r="H85" s="69">
        <f>IF($G85=0,"",COUNTIF($G$2:G85,1))</f>
        <v>84</v>
      </c>
      <c r="I85" s="69" t="str">
        <f t="shared" si="3"/>
        <v>JEMEZ VALLEY</v>
      </c>
    </row>
    <row r="86" spans="1:9">
      <c r="A86" s="67" t="s">
        <v>360</v>
      </c>
      <c r="B86" s="67" t="s">
        <v>362</v>
      </c>
      <c r="C86" s="67" t="s">
        <v>26</v>
      </c>
      <c r="D86" s="67" t="s">
        <v>697</v>
      </c>
      <c r="E86" s="68">
        <f t="shared" si="2"/>
        <v>81</v>
      </c>
      <c r="F86" s="68" t="str">
        <f>IFERROR(INDEX($A$2:$A$226,MATCH(ROWS($E$2:E86),$E$2:$E$226,0)),"")</f>
        <v>LA ACADEMIA DE ESPERANZA</v>
      </c>
      <c r="G86" s="69">
        <f>IF(ISERROR(SEARCH('80-120'!$A$5,$F86)),0,1)</f>
        <v>1</v>
      </c>
      <c r="H86" s="69">
        <f>IF($G86=0,"",COUNTIF($G$2:G86,1))</f>
        <v>85</v>
      </c>
      <c r="I86" s="69" t="str">
        <f t="shared" si="3"/>
        <v>LA ACADEMIA DE ESPERANZA</v>
      </c>
    </row>
    <row r="87" spans="1:9">
      <c r="A87" s="67" t="s">
        <v>363</v>
      </c>
      <c r="B87" s="67" t="s">
        <v>365</v>
      </c>
      <c r="C87" s="67" t="s">
        <v>26</v>
      </c>
      <c r="D87" s="67" t="s">
        <v>684</v>
      </c>
      <c r="E87" s="68">
        <f t="shared" si="2"/>
        <v>83</v>
      </c>
      <c r="F87" s="68" t="str">
        <f>IFERROR(INDEX($A$2:$A$226,MATCH(ROWS($E$2:E87),$E$2:$E$226,0)),"")</f>
        <v>LA ACADEMIA DOLORES HUERTA</v>
      </c>
      <c r="G87" s="69">
        <f>IF(ISERROR(SEARCH('80-120'!$A$5,$F87)),0,1)</f>
        <v>1</v>
      </c>
      <c r="H87" s="69">
        <f>IF($G87=0,"",COUNTIF($G$2:G87,1))</f>
        <v>86</v>
      </c>
      <c r="I87" s="69" t="str">
        <f t="shared" si="3"/>
        <v>LA ACADEMIA DOLORES HUERTA</v>
      </c>
    </row>
    <row r="88" spans="1:9">
      <c r="A88" s="67" t="s">
        <v>366</v>
      </c>
      <c r="B88" s="67" t="s">
        <v>367</v>
      </c>
      <c r="C88" s="67" t="s">
        <v>26</v>
      </c>
      <c r="D88" s="67" t="s">
        <v>680</v>
      </c>
      <c r="E88" s="68">
        <f t="shared" si="2"/>
        <v>84</v>
      </c>
      <c r="F88" s="68" t="str">
        <f>IFERROR(INDEX($A$2:$A$226,MATCH(ROWS($E$2:E88),$E$2:$E$226,0)),"")</f>
        <v>LA TIERRA MONTESSORI</v>
      </c>
      <c r="G88" s="69">
        <f>IF(ISERROR(SEARCH('80-120'!$A$5,$F88)),0,1)</f>
        <v>1</v>
      </c>
      <c r="H88" s="69">
        <f>IF($G88=0,"",COUNTIF($G$2:G88,1))</f>
        <v>87</v>
      </c>
      <c r="I88" s="69" t="str">
        <f t="shared" si="3"/>
        <v>LA TIERRA MONTESSORI</v>
      </c>
    </row>
    <row r="89" spans="1:9">
      <c r="A89" s="67" t="s">
        <v>368</v>
      </c>
      <c r="B89" s="67" t="s">
        <v>370</v>
      </c>
      <c r="C89" s="67" t="s">
        <v>32</v>
      </c>
      <c r="D89" s="67" t="s">
        <v>680</v>
      </c>
      <c r="E89" s="68">
        <f t="shared" si="2"/>
        <v>145</v>
      </c>
      <c r="F89" s="68" t="str">
        <f>IFERROR(INDEX($A$2:$A$226,MATCH(ROWS($E$2:E89),$E$2:$E$226,0)),"")</f>
        <v>LAKE ARTHUR</v>
      </c>
      <c r="G89" s="69">
        <f>IF(ISERROR(SEARCH('80-120'!$A$5,$F89)),0,1)</f>
        <v>1</v>
      </c>
      <c r="H89" s="69">
        <f>IF($G89=0,"",COUNTIF($G$2:G89,1))</f>
        <v>88</v>
      </c>
      <c r="I89" s="69" t="str">
        <f t="shared" si="3"/>
        <v>LAKE ARTHUR</v>
      </c>
    </row>
    <row r="90" spans="1:9">
      <c r="A90" s="67"/>
      <c r="B90" s="67"/>
      <c r="C90" s="67"/>
      <c r="D90" s="67"/>
      <c r="E90" s="68">
        <f t="shared" si="2"/>
        <v>0</v>
      </c>
      <c r="F90" s="68" t="str">
        <f>IFERROR(INDEX($A$2:$A$226,MATCH(ROWS($E$2:E90),$E$2:$E$226,0)),"")</f>
        <v>LAS CRUCES</v>
      </c>
      <c r="G90" s="69">
        <f>IF(ISERROR(SEARCH('80-120'!$A$5,$F90)),0,1)</f>
        <v>1</v>
      </c>
      <c r="H90" s="69">
        <f>IF($G90=0,"",COUNTIF($G$2:G90,1))</f>
        <v>89</v>
      </c>
      <c r="I90" s="69" t="str">
        <f t="shared" si="3"/>
        <v>LAS CRUCES</v>
      </c>
    </row>
    <row r="91" spans="1:9">
      <c r="A91" s="67" t="s">
        <v>371</v>
      </c>
      <c r="B91" s="67" t="s">
        <v>373</v>
      </c>
      <c r="C91" s="67" t="s">
        <v>26</v>
      </c>
      <c r="D91" s="67" t="s">
        <v>692</v>
      </c>
      <c r="E91" s="68">
        <f t="shared" si="2"/>
        <v>88</v>
      </c>
      <c r="F91" s="68" t="str">
        <f>IFERROR(INDEX($A$2:$A$226,MATCH(ROWS($E$2:E91),$E$2:$E$226,0)),"")</f>
        <v>LAS MONTANAS</v>
      </c>
      <c r="G91" s="69">
        <f>IF(ISERROR(SEARCH('80-120'!$A$5,$F91)),0,1)</f>
        <v>1</v>
      </c>
      <c r="H91" s="69">
        <f>IF($G91=0,"",COUNTIF($G$2:G91,1))</f>
        <v>90</v>
      </c>
      <c r="I91" s="69" t="str">
        <f t="shared" si="3"/>
        <v>LAS MONTANAS</v>
      </c>
    </row>
    <row r="92" spans="1:9">
      <c r="A92" s="67" t="s">
        <v>107</v>
      </c>
      <c r="B92" s="67" t="s">
        <v>374</v>
      </c>
      <c r="C92" s="67" t="s">
        <v>26</v>
      </c>
      <c r="D92" s="67" t="s">
        <v>705</v>
      </c>
      <c r="E92" s="68">
        <f t="shared" si="2"/>
        <v>89</v>
      </c>
      <c r="F92" s="68" t="str">
        <f>IFERROR(INDEX($A$2:$A$226,MATCH(ROWS($E$2:E92),$E$2:$E$226,0)),"")</f>
        <v>LAS VEGAS CITY</v>
      </c>
      <c r="G92" s="69">
        <f>IF(ISERROR(SEARCH('80-120'!$A$5,$F92)),0,1)</f>
        <v>1</v>
      </c>
      <c r="H92" s="69">
        <f>IF($G92=0,"",COUNTIF($G$2:G92,1))</f>
        <v>91</v>
      </c>
      <c r="I92" s="69" t="str">
        <f t="shared" si="3"/>
        <v>LAS VEGAS CITY</v>
      </c>
    </row>
    <row r="93" spans="1:9">
      <c r="A93" s="67" t="s">
        <v>378</v>
      </c>
      <c r="B93" s="67" t="s">
        <v>379</v>
      </c>
      <c r="C93" s="67" t="s">
        <v>26</v>
      </c>
      <c r="D93" s="67" t="s">
        <v>706</v>
      </c>
      <c r="E93" s="68">
        <f t="shared" si="2"/>
        <v>91</v>
      </c>
      <c r="F93" s="68" t="str">
        <f>IFERROR(INDEX($A$2:$A$226,MATCH(ROWS($E$2:E93),$E$2:$E$226,0)),"")</f>
        <v>LOGAN</v>
      </c>
      <c r="G93" s="69">
        <f>IF(ISERROR(SEARCH('80-120'!$A$5,$F93)),0,1)</f>
        <v>1</v>
      </c>
      <c r="H93" s="69">
        <f>IF($G93=0,"",COUNTIF($G$2:G93,1))</f>
        <v>92</v>
      </c>
      <c r="I93" s="69" t="str">
        <f t="shared" si="3"/>
        <v>LOGAN</v>
      </c>
    </row>
    <row r="94" spans="1:9">
      <c r="A94" s="67" t="s">
        <v>383</v>
      </c>
      <c r="B94" s="67" t="s">
        <v>384</v>
      </c>
      <c r="C94" s="67" t="s">
        <v>26</v>
      </c>
      <c r="D94" s="67" t="s">
        <v>707</v>
      </c>
      <c r="E94" s="68">
        <f t="shared" si="2"/>
        <v>92</v>
      </c>
      <c r="F94" s="68" t="str">
        <f>IFERROR(INDEX($A$2:$A$226,MATCH(ROWS($E$2:E94),$E$2:$E$226,0)),"")</f>
        <v>LORDSBURG</v>
      </c>
      <c r="G94" s="69">
        <f>IF(ISERROR(SEARCH('80-120'!$A$5,$F94)),0,1)</f>
        <v>1</v>
      </c>
      <c r="H94" s="69">
        <f>IF($G94=0,"",COUNTIF($G$2:G94,1))</f>
        <v>93</v>
      </c>
      <c r="I94" s="69" t="str">
        <f t="shared" si="3"/>
        <v>LORDSBURG</v>
      </c>
    </row>
    <row r="95" spans="1:9">
      <c r="A95" s="67" t="s">
        <v>385</v>
      </c>
      <c r="B95" s="67" t="s">
        <v>387</v>
      </c>
      <c r="C95" s="67" t="s">
        <v>26</v>
      </c>
      <c r="D95" s="67" t="s">
        <v>676</v>
      </c>
      <c r="E95" s="68">
        <f t="shared" si="2"/>
        <v>93</v>
      </c>
      <c r="F95" s="68" t="str">
        <f>IFERROR(INDEX($A$2:$A$226,MATCH(ROWS($E$2:E95),$E$2:$E$226,0)),"")</f>
        <v>LOS ALAMOS</v>
      </c>
      <c r="G95" s="69">
        <f>IF(ISERROR(SEARCH('80-120'!$A$5,$F95)),0,1)</f>
        <v>1</v>
      </c>
      <c r="H95" s="69">
        <f>IF($G95=0,"",COUNTIF($G$2:G95,1))</f>
        <v>94</v>
      </c>
      <c r="I95" s="69" t="str">
        <f t="shared" si="3"/>
        <v>LOS ALAMOS</v>
      </c>
    </row>
    <row r="96" spans="1:9">
      <c r="A96" s="67" t="s">
        <v>389</v>
      </c>
      <c r="B96" s="67" t="s">
        <v>391</v>
      </c>
      <c r="C96" s="67" t="s">
        <v>26</v>
      </c>
      <c r="D96" s="67" t="s">
        <v>708</v>
      </c>
      <c r="E96" s="68">
        <f t="shared" si="2"/>
        <v>94</v>
      </c>
      <c r="F96" s="68" t="str">
        <f>IFERROR(INDEX($A$2:$A$226,MATCH(ROWS($E$2:E96),$E$2:$E$226,0)),"")</f>
        <v>LOS LUNAS</v>
      </c>
      <c r="G96" s="69">
        <f>IF(ISERROR(SEARCH('80-120'!$A$5,$F96)),0,1)</f>
        <v>1</v>
      </c>
      <c r="H96" s="69">
        <f>IF($G96=0,"",COUNTIF($G$2:G96,1))</f>
        <v>95</v>
      </c>
      <c r="I96" s="69" t="str">
        <f t="shared" si="3"/>
        <v>LOS LUNAS</v>
      </c>
    </row>
    <row r="97" spans="1:9">
      <c r="A97" s="67" t="s">
        <v>395</v>
      </c>
      <c r="B97" s="67" t="s">
        <v>397</v>
      </c>
      <c r="C97" s="67" t="s">
        <v>26</v>
      </c>
      <c r="D97" s="67" t="s">
        <v>709</v>
      </c>
      <c r="E97" s="68">
        <f t="shared" si="2"/>
        <v>95</v>
      </c>
      <c r="F97" s="68" t="str">
        <f>IFERROR(INDEX($A$2:$A$226,MATCH(ROWS($E$2:E97),$E$2:$E$226,0)),"")</f>
        <v>LOS PUENTES</v>
      </c>
      <c r="G97" s="69">
        <f>IF(ISERROR(SEARCH('80-120'!$A$5,$F97)),0,1)</f>
        <v>1</v>
      </c>
      <c r="H97" s="69">
        <f>IF($G97=0,"",COUNTIF($G$2:G97,1))</f>
        <v>96</v>
      </c>
      <c r="I97" s="69" t="str">
        <f t="shared" si="3"/>
        <v>LOS PUENTES</v>
      </c>
    </row>
    <row r="98" spans="1:9">
      <c r="A98" s="67" t="s">
        <v>398</v>
      </c>
      <c r="B98" s="67" t="s">
        <v>400</v>
      </c>
      <c r="C98" s="67" t="s">
        <v>26</v>
      </c>
      <c r="D98" s="67" t="s">
        <v>682</v>
      </c>
      <c r="E98" s="68">
        <f t="shared" si="2"/>
        <v>97</v>
      </c>
      <c r="F98" s="68" t="str">
        <f>IFERROR(INDEX($A$2:$A$226,MATCH(ROWS($E$2:E98),$E$2:$E$226,0)),"")</f>
        <v>LOVING</v>
      </c>
      <c r="G98" s="69">
        <f>IF(ISERROR(SEARCH('80-120'!$A$5,$F98)),0,1)</f>
        <v>1</v>
      </c>
      <c r="H98" s="69">
        <f>IF($G98=0,"",COUNTIF($G$2:G98,1))</f>
        <v>97</v>
      </c>
      <c r="I98" s="69" t="str">
        <f t="shared" si="3"/>
        <v>LOVING</v>
      </c>
    </row>
    <row r="99" spans="1:9">
      <c r="A99" s="67" t="s">
        <v>401</v>
      </c>
      <c r="B99" s="67" t="s">
        <v>403</v>
      </c>
      <c r="C99" s="67" t="s">
        <v>26</v>
      </c>
      <c r="D99" s="67" t="s">
        <v>697</v>
      </c>
      <c r="E99" s="68">
        <f t="shared" si="2"/>
        <v>98</v>
      </c>
      <c r="F99" s="68" t="str">
        <f>IFERROR(INDEX($A$2:$A$226,MATCH(ROWS($E$2:E99),$E$2:$E$226,0)),"")</f>
        <v>LOVINGTON</v>
      </c>
      <c r="G99" s="69">
        <f>IF(ISERROR(SEARCH('80-120'!$A$5,$F99)),0,1)</f>
        <v>1</v>
      </c>
      <c r="H99" s="69">
        <f>IF($G99=0,"",COUNTIF($G$2:G99,1))</f>
        <v>98</v>
      </c>
      <c r="I99" s="69" t="str">
        <f t="shared" si="3"/>
        <v>LOVINGTON</v>
      </c>
    </row>
    <row r="100" spans="1:9">
      <c r="A100" s="67" t="s">
        <v>404</v>
      </c>
      <c r="B100" s="67" t="s">
        <v>406</v>
      </c>
      <c r="C100" s="67" t="s">
        <v>26</v>
      </c>
      <c r="D100" s="67" t="s">
        <v>710</v>
      </c>
      <c r="E100" s="68">
        <f t="shared" si="2"/>
        <v>99</v>
      </c>
      <c r="F100" s="68" t="str">
        <f>IFERROR(INDEX($A$2:$A$226,MATCH(ROWS($E$2:E100),$E$2:$E$226,0)),"")</f>
        <v>MAGDALENA</v>
      </c>
      <c r="G100" s="69">
        <f>IF(ISERROR(SEARCH('80-120'!$A$5,$F100)),0,1)</f>
        <v>1</v>
      </c>
      <c r="H100" s="69">
        <f>IF($G100=0,"",COUNTIF($G$2:G100,1))</f>
        <v>99</v>
      </c>
      <c r="I100" s="69" t="str">
        <f t="shared" si="3"/>
        <v>MAGDALENA</v>
      </c>
    </row>
    <row r="101" spans="1:9">
      <c r="A101" s="67" t="s">
        <v>407</v>
      </c>
      <c r="B101" s="67" t="s">
        <v>409</v>
      </c>
      <c r="C101" s="67" t="s">
        <v>26</v>
      </c>
      <c r="D101" s="67" t="s">
        <v>685</v>
      </c>
      <c r="E101" s="68">
        <f t="shared" si="2"/>
        <v>102</v>
      </c>
      <c r="F101" s="68" t="str">
        <f>IFERROR(INDEX($A$2:$A$226,MATCH(ROWS($E$2:E101),$E$2:$E$226,0)),"")</f>
        <v>MARK ARMIJO (NUESTROS VALORES)</v>
      </c>
      <c r="G101" s="69">
        <f>IF(ISERROR(SEARCH('80-120'!$A$5,$F101)),0,1)</f>
        <v>1</v>
      </c>
      <c r="H101" s="69">
        <f>IF($G101=0,"",COUNTIF($G$2:G101,1))</f>
        <v>100</v>
      </c>
      <c r="I101" s="69" t="str">
        <f t="shared" si="3"/>
        <v>MARK ARMIJO (NUESTROS VALORES)</v>
      </c>
    </row>
    <row r="102" spans="1:9">
      <c r="A102" s="67" t="s">
        <v>410</v>
      </c>
      <c r="B102" s="67" t="s">
        <v>412</v>
      </c>
      <c r="C102" s="67" t="s">
        <v>26</v>
      </c>
      <c r="D102" s="67" t="s">
        <v>711</v>
      </c>
      <c r="E102" s="68">
        <f t="shared" si="2"/>
        <v>105</v>
      </c>
      <c r="F102" s="68" t="str">
        <f>IFERROR(INDEX($A$2:$A$226,MATCH(ROWS($E$2:E102),$E$2:$E$226,0)),"")</f>
        <v>MASTERS PROGRAM ST. CHARTER</v>
      </c>
      <c r="G102" s="69">
        <f>IF(ISERROR(SEARCH('80-120'!$A$5,$F102)),0,1)</f>
        <v>1</v>
      </c>
      <c r="H102" s="69">
        <f>IF($G102=0,"",COUNTIF($G$2:G102,1))</f>
        <v>101</v>
      </c>
      <c r="I102" s="69" t="str">
        <f t="shared" si="3"/>
        <v>MASTERS PROGRAM ST. CHARTER</v>
      </c>
    </row>
    <row r="103" spans="1:9">
      <c r="A103" s="67" t="s">
        <v>413</v>
      </c>
      <c r="B103" s="67" t="s">
        <v>415</v>
      </c>
      <c r="C103" s="67" t="s">
        <v>26</v>
      </c>
      <c r="D103" s="67" t="s">
        <v>712</v>
      </c>
      <c r="E103" s="68">
        <f t="shared" si="2"/>
        <v>106</v>
      </c>
      <c r="F103" s="68" t="str">
        <f>IFERROR(INDEX($A$2:$A$226,MATCH(ROWS($E$2:E103),$E$2:$E$226,0)),"")</f>
        <v>MAXWELL</v>
      </c>
      <c r="G103" s="69">
        <f>IF(ISERROR(SEARCH('80-120'!$A$5,$F103)),0,1)</f>
        <v>1</v>
      </c>
      <c r="H103" s="69">
        <f>IF($G103=0,"",COUNTIF($G$2:G103,1))</f>
        <v>102</v>
      </c>
      <c r="I103" s="69" t="str">
        <f t="shared" si="3"/>
        <v>MAXWELL</v>
      </c>
    </row>
    <row r="104" spans="1:9">
      <c r="A104" s="67" t="s">
        <v>416</v>
      </c>
      <c r="B104" s="67" t="s">
        <v>418</v>
      </c>
      <c r="C104" s="67" t="s">
        <v>26</v>
      </c>
      <c r="D104" s="67" t="s">
        <v>713</v>
      </c>
      <c r="E104" s="68">
        <f t="shared" si="2"/>
        <v>112</v>
      </c>
      <c r="F104" s="68" t="str">
        <f>IFERROR(INDEX($A$2:$A$226,MATCH(ROWS($E$2:E104),$E$2:$E$226,0)),"")</f>
        <v>MCCURDY CHARTER SCHOOL</v>
      </c>
      <c r="G104" s="69">
        <f>IF(ISERROR(SEARCH('80-120'!$A$5,$F104)),0,1)</f>
        <v>1</v>
      </c>
      <c r="H104" s="69">
        <f>IF($G104=0,"",COUNTIF($G$2:G104,1))</f>
        <v>103</v>
      </c>
      <c r="I104" s="69" t="str">
        <f t="shared" si="3"/>
        <v>MCCURDY CHARTER SCHOOL</v>
      </c>
    </row>
    <row r="105" spans="1:9">
      <c r="A105" s="67" t="s">
        <v>307</v>
      </c>
      <c r="B105" s="67" t="s">
        <v>421</v>
      </c>
      <c r="C105" s="67" t="s">
        <v>26</v>
      </c>
      <c r="D105" s="67" t="s">
        <v>714</v>
      </c>
      <c r="E105" s="68">
        <f t="shared" si="2"/>
        <v>114</v>
      </c>
      <c r="F105" s="68" t="str">
        <f>IFERROR(INDEX($A$2:$A$226,MATCH(ROWS($E$2:E105),$E$2:$E$226,0)),"")</f>
        <v>MEDIA ARTS COLLAB. ST. CHARTER</v>
      </c>
      <c r="G105" s="69">
        <f>IF(ISERROR(SEARCH('80-120'!$A$5,$F105)),0,1)</f>
        <v>1</v>
      </c>
      <c r="H105" s="69">
        <f>IF($G105=0,"",COUNTIF($G$2:G105,1))</f>
        <v>104</v>
      </c>
      <c r="I105" s="69" t="str">
        <f t="shared" si="3"/>
        <v>MEDIA ARTS COLLAB. ST. CHARTER</v>
      </c>
    </row>
    <row r="106" spans="1:9">
      <c r="A106" s="67" t="s">
        <v>422</v>
      </c>
      <c r="B106" s="67" t="s">
        <v>423</v>
      </c>
      <c r="C106" s="67" t="s">
        <v>26</v>
      </c>
      <c r="D106" s="67" t="s">
        <v>715</v>
      </c>
      <c r="E106" s="68">
        <f t="shared" si="2"/>
        <v>116</v>
      </c>
      <c r="F106" s="68" t="str">
        <f>IFERROR(INDEX($A$2:$A$226,MATCH(ROWS($E$2:E106),$E$2:$E$226,0)),"")</f>
        <v>MELROSE</v>
      </c>
      <c r="G106" s="69">
        <f>IF(ISERROR(SEARCH('80-120'!$A$5,$F106)),0,1)</f>
        <v>1</v>
      </c>
      <c r="H106" s="69">
        <f>IF($G106=0,"",COUNTIF($G$2:G106,1))</f>
        <v>105</v>
      </c>
      <c r="I106" s="69" t="str">
        <f t="shared" si="3"/>
        <v>MELROSE</v>
      </c>
    </row>
    <row r="107" spans="1:9">
      <c r="A107" s="67" t="s">
        <v>424</v>
      </c>
      <c r="B107" s="67" t="s">
        <v>426</v>
      </c>
      <c r="C107" s="67" t="s">
        <v>26</v>
      </c>
      <c r="D107" s="67" t="s">
        <v>716</v>
      </c>
      <c r="E107" s="68">
        <f t="shared" si="2"/>
        <v>118</v>
      </c>
      <c r="F107" s="68" t="str">
        <f>IFERROR(INDEX($A$2:$A$226,MATCH(ROWS($E$2:E107),$E$2:$E$226,0)),"")</f>
        <v>MESA VISTA</v>
      </c>
      <c r="G107" s="69">
        <f>IF(ISERROR(SEARCH('80-120'!$A$5,$F107)),0,1)</f>
        <v>1</v>
      </c>
      <c r="H107" s="69">
        <f>IF($G107=0,"",COUNTIF($G$2:G107,1))</f>
        <v>106</v>
      </c>
      <c r="I107" s="69" t="str">
        <f t="shared" si="3"/>
        <v>MESA VISTA</v>
      </c>
    </row>
    <row r="108" spans="1:9">
      <c r="A108" s="67" t="s">
        <v>430</v>
      </c>
      <c r="B108" s="67" t="s">
        <v>432</v>
      </c>
      <c r="C108" s="67" t="s">
        <v>26</v>
      </c>
      <c r="D108" s="67" t="s">
        <v>717</v>
      </c>
      <c r="E108" s="68">
        <f t="shared" si="2"/>
        <v>127</v>
      </c>
      <c r="F108" s="68" t="str">
        <f>IFERROR(INDEX($A$2:$A$226,MATCH(ROWS($E$2:E108),$E$2:$E$226,0)),"")</f>
        <v>MIDDLE COLLEGE HIGH</v>
      </c>
      <c r="G108" s="69">
        <f>IF(ISERROR(SEARCH('80-120'!$A$5,$F108)),0,1)</f>
        <v>1</v>
      </c>
      <c r="H108" s="69">
        <f>IF($G108=0,"",COUNTIF($G$2:G108,1))</f>
        <v>107</v>
      </c>
      <c r="I108" s="69" t="str">
        <f t="shared" si="3"/>
        <v>MIDDLE COLLEGE HIGH</v>
      </c>
    </row>
    <row r="109" spans="1:9">
      <c r="A109" s="67" t="s">
        <v>462</v>
      </c>
      <c r="B109" s="67" t="s">
        <v>435</v>
      </c>
      <c r="C109" s="67" t="s">
        <v>26</v>
      </c>
      <c r="D109" s="67" t="s">
        <v>712</v>
      </c>
      <c r="E109" s="68">
        <f t="shared" si="2"/>
        <v>129</v>
      </c>
      <c r="F109" s="68" t="str">
        <f>IFERROR(INDEX($A$2:$A$226,MATCH(ROWS($E$2:E109),$E$2:$E$226,0)),"")</f>
        <v>MISSION ACHIEVEMENT &amp; SUCCESS-MAS</v>
      </c>
      <c r="G109" s="69">
        <f>IF(ISERROR(SEARCH('80-120'!$A$5,$F109)),0,1)</f>
        <v>1</v>
      </c>
      <c r="H109" s="69">
        <f>IF($G109=0,"",COUNTIF($G$2:G109,1))</f>
        <v>108</v>
      </c>
      <c r="I109" s="69" t="str">
        <f t="shared" si="3"/>
        <v>MISSION ACHIEVEMENT &amp; SUCCESS-MAS</v>
      </c>
    </row>
    <row r="110" spans="1:9">
      <c r="A110" s="67" t="s">
        <v>439</v>
      </c>
      <c r="B110" s="67" t="s">
        <v>441</v>
      </c>
      <c r="C110" s="67" t="s">
        <v>26</v>
      </c>
      <c r="D110" s="67" t="s">
        <v>718</v>
      </c>
      <c r="E110" s="68">
        <f t="shared" si="2"/>
        <v>130</v>
      </c>
      <c r="F110" s="68" t="str">
        <f>IFERROR(INDEX($A$2:$A$226,MATCH(ROWS($E$2:E110),$E$2:$E$226,0)),"")</f>
        <v>MONTE DEL SOL</v>
      </c>
      <c r="G110" s="69">
        <f>IF(ISERROR(SEARCH('80-120'!$A$5,$F110)),0,1)</f>
        <v>1</v>
      </c>
      <c r="H110" s="69">
        <f>IF($G110=0,"",COUNTIF($G$2:G110,1))</f>
        <v>109</v>
      </c>
      <c r="I110" s="69" t="str">
        <f t="shared" si="3"/>
        <v>MONTE DEL SOL</v>
      </c>
    </row>
    <row r="111" spans="1:9">
      <c r="A111" s="67" t="s">
        <v>445</v>
      </c>
      <c r="B111" s="67" t="s">
        <v>447</v>
      </c>
      <c r="C111" s="67" t="s">
        <v>26</v>
      </c>
      <c r="D111" s="67" t="s">
        <v>693</v>
      </c>
      <c r="E111" s="68">
        <f t="shared" si="2"/>
        <v>131</v>
      </c>
      <c r="F111" s="68" t="str">
        <f>IFERROR(INDEX($A$2:$A$226,MATCH(ROWS($E$2:E111),$E$2:$E$226,0)),"")</f>
        <v>MONTESSORI ELEMEMTARY ST. CHARTER</v>
      </c>
      <c r="G111" s="69">
        <f>IF(ISERROR(SEARCH('80-120'!$A$5,$F111)),0,1)</f>
        <v>1</v>
      </c>
      <c r="H111" s="69">
        <f>IF($G111=0,"",COUNTIF($G$2:G111,1))</f>
        <v>110</v>
      </c>
      <c r="I111" s="69" t="str">
        <f t="shared" si="3"/>
        <v>MONTESSORI ELEMEMTARY ST. CHARTER</v>
      </c>
    </row>
    <row r="112" spans="1:9">
      <c r="A112" s="67" t="s">
        <v>448</v>
      </c>
      <c r="B112" s="67" t="s">
        <v>449</v>
      </c>
      <c r="C112" s="67" t="s">
        <v>26</v>
      </c>
      <c r="D112" s="67" t="s">
        <v>719</v>
      </c>
      <c r="E112" s="68">
        <f t="shared" si="2"/>
        <v>132</v>
      </c>
      <c r="F112" s="68" t="str">
        <f>IFERROR(INDEX($A$2:$A$226,MATCH(ROWS($E$2:E112),$E$2:$E$226,0)),"")</f>
        <v>MONTESSORI OF THE RIO GRANDE</v>
      </c>
      <c r="G112" s="69">
        <f>IF(ISERROR(SEARCH('80-120'!$A$5,$F112)),0,1)</f>
        <v>1</v>
      </c>
      <c r="H112" s="69">
        <f>IF($G112=0,"",COUNTIF($G$2:G112,1))</f>
        <v>111</v>
      </c>
      <c r="I112" s="69" t="str">
        <f t="shared" si="3"/>
        <v>MONTESSORI OF THE RIO GRANDE</v>
      </c>
    </row>
    <row r="113" spans="1:9">
      <c r="A113" s="67" t="s">
        <v>450</v>
      </c>
      <c r="B113" s="67" t="s">
        <v>452</v>
      </c>
      <c r="C113" s="67" t="s">
        <v>26</v>
      </c>
      <c r="D113" s="67" t="s">
        <v>720</v>
      </c>
      <c r="E113" s="68">
        <f t="shared" si="2"/>
        <v>133</v>
      </c>
      <c r="F113" s="68" t="str">
        <f>IFERROR(INDEX($A$2:$A$226,MATCH(ROWS($E$2:E113),$E$2:$E$226,0)),"")</f>
        <v>MORA</v>
      </c>
      <c r="G113" s="69">
        <f>IF(ISERROR(SEARCH('80-120'!$A$5,$F113)),0,1)</f>
        <v>1</v>
      </c>
      <c r="H113" s="69">
        <f>IF($G113=0,"",COUNTIF($G$2:G113,1))</f>
        <v>112</v>
      </c>
      <c r="I113" s="69" t="str">
        <f t="shared" si="3"/>
        <v>MORA</v>
      </c>
    </row>
    <row r="114" spans="1:9">
      <c r="A114" s="67" t="s">
        <v>456</v>
      </c>
      <c r="B114" s="67" t="s">
        <v>458</v>
      </c>
      <c r="C114" s="67" t="s">
        <v>26</v>
      </c>
      <c r="D114" s="67" t="s">
        <v>685</v>
      </c>
      <c r="E114" s="68">
        <f t="shared" si="2"/>
        <v>135</v>
      </c>
      <c r="F114" s="68" t="str">
        <f>IFERROR(INDEX($A$2:$A$226,MATCH(ROWS($E$2:E114),$E$2:$E$226,0)),"")</f>
        <v>MORENO VALLEY HIGH</v>
      </c>
      <c r="G114" s="69">
        <f>IF(ISERROR(SEARCH('80-120'!$A$5,$F114)),0,1)</f>
        <v>1</v>
      </c>
      <c r="H114" s="69">
        <f>IF($G114=0,"",COUNTIF($G$2:G114,1))</f>
        <v>113</v>
      </c>
      <c r="I114" s="69" t="str">
        <f t="shared" si="3"/>
        <v>MORENO VALLEY HIGH</v>
      </c>
    </row>
    <row r="115" spans="1:9">
      <c r="A115" s="67" t="s">
        <v>463</v>
      </c>
      <c r="B115" s="67" t="s">
        <v>465</v>
      </c>
      <c r="C115" s="67" t="s">
        <v>26</v>
      </c>
      <c r="D115" s="67" t="s">
        <v>721</v>
      </c>
      <c r="E115" s="68">
        <f t="shared" si="2"/>
        <v>137</v>
      </c>
      <c r="F115" s="68" t="str">
        <f>IFERROR(INDEX($A$2:$A$226,MATCH(ROWS($E$2:E115),$E$2:$E$226,0)),"")</f>
        <v>MORIARTY</v>
      </c>
      <c r="G115" s="69">
        <f>IF(ISERROR(SEARCH('80-120'!$A$5,$F115)),0,1)</f>
        <v>1</v>
      </c>
      <c r="H115" s="69">
        <f>IF($G115=0,"",COUNTIF($G$2:G115,1))</f>
        <v>114</v>
      </c>
      <c r="I115" s="69" t="str">
        <f t="shared" si="3"/>
        <v>MORIARTY</v>
      </c>
    </row>
    <row r="116" spans="1:9">
      <c r="A116" s="67" t="s">
        <v>150</v>
      </c>
      <c r="B116" s="67" t="s">
        <v>470</v>
      </c>
      <c r="C116" s="67" t="s">
        <v>26</v>
      </c>
      <c r="D116" s="67" t="s">
        <v>680</v>
      </c>
      <c r="E116" s="68">
        <f t="shared" si="2"/>
        <v>139</v>
      </c>
      <c r="F116" s="68" t="str">
        <f>IFERROR(INDEX($A$2:$A$226,MATCH(ROWS($E$2:E116),$E$2:$E$226,0)),"")</f>
        <v>MOSAIC ACADEMY CHARTER</v>
      </c>
      <c r="G116" s="69">
        <f>IF(ISERROR(SEARCH('80-120'!$A$5,$F116)),0,1)</f>
        <v>1</v>
      </c>
      <c r="H116" s="69">
        <f>IF($G116=0,"",COUNTIF($G$2:G116,1))</f>
        <v>115</v>
      </c>
      <c r="I116" s="69" t="str">
        <f t="shared" si="3"/>
        <v>MOSAIC ACADEMY CHARTER</v>
      </c>
    </row>
    <row r="117" spans="1:9">
      <c r="A117" s="67" t="s">
        <v>474</v>
      </c>
      <c r="B117" s="67" t="s">
        <v>475</v>
      </c>
      <c r="C117" s="67" t="s">
        <v>26</v>
      </c>
      <c r="D117" s="67" t="s">
        <v>692</v>
      </c>
      <c r="E117" s="68">
        <f t="shared" si="2"/>
        <v>142</v>
      </c>
      <c r="F117" s="68" t="str">
        <f>IFERROR(INDEX($A$2:$A$226,MATCH(ROWS($E$2:E117),$E$2:$E$226,0)),"")</f>
        <v>MOSQUERO</v>
      </c>
      <c r="G117" s="69">
        <f>IF(ISERROR(SEARCH('80-120'!$A$5,$F117)),0,1)</f>
        <v>1</v>
      </c>
      <c r="H117" s="69">
        <f>IF($G117=0,"",COUNTIF($G$2:G117,1))</f>
        <v>116</v>
      </c>
      <c r="I117" s="69" t="str">
        <f t="shared" si="3"/>
        <v>MOSQUERO</v>
      </c>
    </row>
    <row r="118" spans="1:9">
      <c r="A118" s="67" t="s">
        <v>489</v>
      </c>
      <c r="B118" s="67" t="s">
        <v>477</v>
      </c>
      <c r="C118" s="67" t="s">
        <v>32</v>
      </c>
      <c r="D118" s="67" t="s">
        <v>692</v>
      </c>
      <c r="E118" s="68">
        <f t="shared" si="2"/>
        <v>151</v>
      </c>
      <c r="F118" s="68" t="str">
        <f>IFERROR(INDEX($A$2:$A$226,MATCH(ROWS($E$2:E118),$E$2:$E$226,0)),"")</f>
        <v>MOUNTAIN MAHOGANY</v>
      </c>
      <c r="G118" s="69">
        <f>IF(ISERROR(SEARCH('80-120'!$A$5,$F118)),0,1)</f>
        <v>1</v>
      </c>
      <c r="H118" s="69">
        <f>IF($G118=0,"",COUNTIF($G$2:G118,1))</f>
        <v>117</v>
      </c>
      <c r="I118" s="69" t="str">
        <f t="shared" si="3"/>
        <v>MOUNTAIN MAHOGANY</v>
      </c>
    </row>
    <row r="119" spans="1:9">
      <c r="A119" s="67"/>
      <c r="B119" s="67"/>
      <c r="C119" s="67"/>
      <c r="D119" s="67"/>
      <c r="E119" s="68">
        <f t="shared" si="2"/>
        <v>0</v>
      </c>
      <c r="F119" s="68" t="str">
        <f>IFERROR(INDEX($A$2:$A$226,MATCH(ROWS($E$2:E119),$E$2:$E$226,0)),"")</f>
        <v>MOUNTAINAIR</v>
      </c>
      <c r="G119" s="69">
        <f>IF(ISERROR(SEARCH('80-120'!$A$5,$F119)),0,1)</f>
        <v>1</v>
      </c>
      <c r="H119" s="69">
        <f>IF($G119=0,"",COUNTIF($G$2:G119,1))</f>
        <v>118</v>
      </c>
      <c r="I119" s="69" t="str">
        <f t="shared" si="3"/>
        <v>MOUNTAINAIR</v>
      </c>
    </row>
    <row r="120" spans="1:9">
      <c r="A120" s="67" t="s">
        <v>478</v>
      </c>
      <c r="B120" s="67" t="s">
        <v>480</v>
      </c>
      <c r="C120" s="67" t="s">
        <v>26</v>
      </c>
      <c r="D120" s="67" t="s">
        <v>715</v>
      </c>
      <c r="E120" s="68">
        <f t="shared" si="2"/>
        <v>143</v>
      </c>
      <c r="F120" s="68" t="str">
        <f>IFERROR(INDEX($A$2:$A$226,MATCH(ROWS($E$2:E120),$E$2:$E$226,0)),"")</f>
        <v>NATIVE AMERICAN COMM ACAD.</v>
      </c>
      <c r="G120" s="69">
        <f>IF(ISERROR(SEARCH('80-120'!$A$5,$F120)),0,1)</f>
        <v>1</v>
      </c>
      <c r="H120" s="69">
        <f>IF($G120=0,"",COUNTIF($G$2:G120,1))</f>
        <v>119</v>
      </c>
      <c r="I120" s="69" t="str">
        <f t="shared" si="3"/>
        <v>NATIVE AMERICAN COMM ACAD.</v>
      </c>
    </row>
    <row r="121" spans="1:9">
      <c r="A121" s="67" t="s">
        <v>481</v>
      </c>
      <c r="B121" s="67" t="s">
        <v>483</v>
      </c>
      <c r="C121" s="67" t="s">
        <v>26</v>
      </c>
      <c r="D121" s="67" t="s">
        <v>681</v>
      </c>
      <c r="E121" s="68">
        <f t="shared" si="2"/>
        <v>144</v>
      </c>
      <c r="F121" s="68" t="str">
        <f>IFERROR(INDEX($A$2:$A$226,MATCH(ROWS($E$2:E121),$E$2:$E$226,0)),"")</f>
        <v>NEW AMERICA CHARTER SCHOOL</v>
      </c>
      <c r="G121" s="69">
        <f>IF(ISERROR(SEARCH('80-120'!$A$5,$F121)),0,1)</f>
        <v>1</v>
      </c>
      <c r="H121" s="69">
        <f>IF($G121=0,"",COUNTIF($G$2:G121,1))</f>
        <v>120</v>
      </c>
      <c r="I121" s="69" t="str">
        <f t="shared" si="3"/>
        <v>NEW AMERICA CHARTER SCHOOL</v>
      </c>
    </row>
    <row r="122" spans="1:9">
      <c r="A122" s="67" t="s">
        <v>484</v>
      </c>
      <c r="B122" s="67" t="s">
        <v>486</v>
      </c>
      <c r="C122" s="67" t="s">
        <v>26</v>
      </c>
      <c r="D122" s="67" t="s">
        <v>722</v>
      </c>
      <c r="E122" s="68">
        <f t="shared" si="2"/>
        <v>146</v>
      </c>
      <c r="F122" s="68" t="str">
        <f>IFERROR(INDEX($A$2:$A$226,MATCH(ROWS($E$2:E122),$E$2:$E$226,0)),"")</f>
        <v>NEW AMERICA SCHOOL - LAS CRUCES</v>
      </c>
      <c r="G122" s="69">
        <f>IF(ISERROR(SEARCH('80-120'!$A$5,$F122)),0,1)</f>
        <v>1</v>
      </c>
      <c r="H122" s="69">
        <f>IF($G122=0,"",COUNTIF($G$2:G122,1))</f>
        <v>121</v>
      </c>
      <c r="I122" s="69" t="str">
        <f t="shared" si="3"/>
        <v>NEW AMERICA SCHOOL - LAS CRUCES</v>
      </c>
    </row>
    <row r="123" spans="1:9">
      <c r="A123" s="67" t="s">
        <v>28</v>
      </c>
      <c r="B123" s="67" t="s">
        <v>487</v>
      </c>
      <c r="C123" s="67" t="s">
        <v>26</v>
      </c>
      <c r="D123" s="67" t="s">
        <v>718</v>
      </c>
      <c r="E123" s="68">
        <f t="shared" si="2"/>
        <v>148</v>
      </c>
      <c r="F123" s="68" t="str">
        <f>IFERROR(INDEX($A$2:$A$226,MATCH(ROWS($E$2:E123),$E$2:$E$226,0)),"")</f>
        <v>NEW MEXICO CONNECTIONS ACADEMY</v>
      </c>
      <c r="G123" s="69">
        <f>IF(ISERROR(SEARCH('80-120'!$A$5,$F123)),0,1)</f>
        <v>1</v>
      </c>
      <c r="H123" s="69">
        <f>IF($G123=0,"",COUNTIF($G$2:G123,1))</f>
        <v>122</v>
      </c>
      <c r="I123" s="69" t="str">
        <f t="shared" si="3"/>
        <v>NEW MEXICO CONNECTIONS ACADEMY</v>
      </c>
    </row>
    <row r="124" spans="1:9">
      <c r="A124" s="67" t="s">
        <v>27</v>
      </c>
      <c r="B124" s="67" t="s">
        <v>31</v>
      </c>
      <c r="C124" s="67" t="s">
        <v>32</v>
      </c>
      <c r="D124" s="67" t="s">
        <v>718</v>
      </c>
      <c r="E124" s="68">
        <f t="shared" si="2"/>
        <v>1</v>
      </c>
      <c r="F124" s="68" t="str">
        <f>IFERROR(INDEX($A$2:$A$226,MATCH(ROWS($E$2:E124),$E$2:$E$226,0)),"")</f>
        <v>NEW MEXICO INTERNATIONAL</v>
      </c>
      <c r="G124" s="69">
        <f>IF(ISERROR(SEARCH('80-120'!$A$5,$F124)),0,1)</f>
        <v>1</v>
      </c>
      <c r="H124" s="69">
        <f>IF($G124=0,"",COUNTIF($G$2:G124,1))</f>
        <v>123</v>
      </c>
      <c r="I124" s="69" t="str">
        <f t="shared" si="3"/>
        <v>NEW MEXICO INTERNATIONAL</v>
      </c>
    </row>
    <row r="125" spans="1:9">
      <c r="A125" s="67"/>
      <c r="B125" s="67"/>
      <c r="C125" s="67"/>
      <c r="D125" s="67"/>
      <c r="E125" s="68">
        <f t="shared" si="2"/>
        <v>0</v>
      </c>
      <c r="F125" s="68" t="str">
        <f>IFERROR(INDEX($A$2:$A$226,MATCH(ROWS($E$2:E125),$E$2:$E$226,0)),"")</f>
        <v>NEW MEXICO SCHOOL FOR THE ARTS ST. CH</v>
      </c>
      <c r="G125" s="69">
        <f>IF(ISERROR(SEARCH('80-120'!$A$5,$F125)),0,1)</f>
        <v>1</v>
      </c>
      <c r="H125" s="69">
        <f>IF($G125=0,"",COUNTIF($G$2:G125,1))</f>
        <v>124</v>
      </c>
      <c r="I125" s="69" t="str">
        <f t="shared" si="3"/>
        <v>NEW MEXICO SCHOOL FOR THE ARTS ST. CH</v>
      </c>
    </row>
    <row r="126" spans="1:9">
      <c r="A126" s="67" t="s">
        <v>490</v>
      </c>
      <c r="B126" s="67" t="s">
        <v>491</v>
      </c>
      <c r="C126" s="67" t="s">
        <v>26</v>
      </c>
      <c r="D126" s="67" t="s">
        <v>723</v>
      </c>
      <c r="E126" s="68">
        <f t="shared" si="2"/>
        <v>149</v>
      </c>
      <c r="F126" s="68" t="str">
        <f>IFERROR(INDEX($A$2:$A$226,MATCH(ROWS($E$2:E126),$E$2:$E$226,0)),"")</f>
        <v>NORTH VALLEY ACADEMY ST. CHARTER</v>
      </c>
      <c r="G126" s="69">
        <f>IF(ISERROR(SEARCH('80-120'!$A$5,$F126)),0,1)</f>
        <v>1</v>
      </c>
      <c r="H126" s="69">
        <f>IF($G126=0,"",COUNTIF($G$2:G126,1))</f>
        <v>125</v>
      </c>
      <c r="I126" s="69" t="str">
        <f t="shared" si="3"/>
        <v>NORTH VALLEY ACADEMY ST. CHARTER</v>
      </c>
    </row>
    <row r="127" spans="1:9">
      <c r="A127" s="67" t="s">
        <v>96</v>
      </c>
      <c r="B127" s="67" t="s">
        <v>495</v>
      </c>
      <c r="C127" s="67" t="s">
        <v>26</v>
      </c>
      <c r="D127" s="67" t="s">
        <v>688</v>
      </c>
      <c r="E127" s="68">
        <f t="shared" si="2"/>
        <v>153</v>
      </c>
      <c r="F127" s="68" t="str">
        <f>IFERROR(INDEX($A$2:$A$226,MATCH(ROWS($E$2:E127),$E$2:$E$226,0)),"")</f>
        <v>PAPA</v>
      </c>
      <c r="G127" s="69">
        <f>IF(ISERROR(SEARCH('80-120'!$A$5,$F127)),0,1)</f>
        <v>1</v>
      </c>
      <c r="H127" s="69">
        <f>IF($G127=0,"",COUNTIF($G$2:G127,1))</f>
        <v>126</v>
      </c>
      <c r="I127" s="69" t="str">
        <f t="shared" si="3"/>
        <v>PAPA</v>
      </c>
    </row>
    <row r="128" spans="1:9">
      <c r="A128" s="67" t="s">
        <v>253</v>
      </c>
      <c r="B128" s="67" t="s">
        <v>496</v>
      </c>
      <c r="C128" s="67" t="s">
        <v>26</v>
      </c>
      <c r="D128" s="67" t="s">
        <v>710</v>
      </c>
      <c r="E128" s="68">
        <f t="shared" si="2"/>
        <v>155</v>
      </c>
      <c r="F128" s="68" t="str">
        <f>IFERROR(INDEX($A$2:$A$226,MATCH(ROWS($E$2:E128),$E$2:$E$226,0)),"")</f>
        <v>PECOS</v>
      </c>
      <c r="G128" s="69">
        <f>IF(ISERROR(SEARCH('80-120'!$A$5,$F128)),0,1)</f>
        <v>1</v>
      </c>
      <c r="H128" s="69">
        <f>IF($G128=0,"",COUNTIF($G$2:G128,1))</f>
        <v>127</v>
      </c>
      <c r="I128" s="69" t="str">
        <f t="shared" si="3"/>
        <v>PECOS</v>
      </c>
    </row>
    <row r="129" spans="1:9">
      <c r="A129" s="67" t="s">
        <v>252</v>
      </c>
      <c r="B129" s="67" t="s">
        <v>256</v>
      </c>
      <c r="C129" s="67" t="s">
        <v>32</v>
      </c>
      <c r="D129" s="67" t="s">
        <v>710</v>
      </c>
      <c r="E129" s="68">
        <f t="shared" si="2"/>
        <v>42</v>
      </c>
      <c r="F129" s="68" t="str">
        <f>IFERROR(INDEX($A$2:$A$226,MATCH(ROWS($E$2:E129),$E$2:$E$226,0)),"")</f>
        <v>PECOS CONNECTIONS</v>
      </c>
      <c r="G129" s="69">
        <f>IF(ISERROR(SEARCH('80-120'!$A$5,$F129)),0,1)</f>
        <v>1</v>
      </c>
      <c r="H129" s="69">
        <f>IF($G129=0,"",COUNTIF($G$2:G129,1))</f>
        <v>128</v>
      </c>
      <c r="I129" s="69" t="str">
        <f t="shared" si="3"/>
        <v>PECOS CONNECTIONS</v>
      </c>
    </row>
    <row r="130" spans="1:9">
      <c r="A130" s="67"/>
      <c r="B130" s="67"/>
      <c r="C130" s="67"/>
      <c r="D130" s="67"/>
      <c r="E130" s="68">
        <f t="shared" ref="E130:E193" si="4">COUNTIF($A$2:$A$226,"&lt;="&amp;A130)</f>
        <v>0</v>
      </c>
      <c r="F130" s="68" t="str">
        <f>IFERROR(INDEX($A$2:$A$226,MATCH(ROWS($E$2:E130),$E$2:$E$226,0)),"")</f>
        <v>PEÑASCO</v>
      </c>
      <c r="G130" s="69">
        <f>IF(ISERROR(SEARCH('80-120'!$A$5,$F130)),0,1)</f>
        <v>1</v>
      </c>
      <c r="H130" s="69">
        <f>IF($G130=0,"",COUNTIF($G$2:G130,1))</f>
        <v>129</v>
      </c>
      <c r="I130" s="69" t="str">
        <f t="shared" ref="I130:I193" si="5">IFERROR(INDEX(F129:F354,MATCH(ROW(H129),H129:H354,0)),"")</f>
        <v>PEÑASCO</v>
      </c>
    </row>
    <row r="131" spans="1:9">
      <c r="A131" s="67" t="s">
        <v>500</v>
      </c>
      <c r="B131" s="67" t="s">
        <v>502</v>
      </c>
      <c r="C131" s="67" t="s">
        <v>26</v>
      </c>
      <c r="D131" s="67" t="s">
        <v>724</v>
      </c>
      <c r="E131" s="68">
        <f t="shared" si="4"/>
        <v>161</v>
      </c>
      <c r="F131" s="68" t="str">
        <f>IFERROR(INDEX($A$2:$A$226,MATCH(ROWS($E$2:E131),$E$2:$E$226,0)),"")</f>
        <v>POJOAQUE</v>
      </c>
      <c r="G131" s="69">
        <f>IF(ISERROR(SEARCH('80-120'!$A$5,$F131)),0,1)</f>
        <v>1</v>
      </c>
      <c r="H131" s="69">
        <f>IF($G131=0,"",COUNTIF($G$2:G131,1))</f>
        <v>130</v>
      </c>
      <c r="I131" s="69" t="str">
        <f t="shared" si="5"/>
        <v>POJOAQUE</v>
      </c>
    </row>
    <row r="132" spans="1:9">
      <c r="A132" s="67" t="s">
        <v>129</v>
      </c>
      <c r="B132" s="67" t="s">
        <v>506</v>
      </c>
      <c r="C132" s="67" t="s">
        <v>26</v>
      </c>
      <c r="D132" s="67" t="s">
        <v>720</v>
      </c>
      <c r="E132" s="68">
        <f t="shared" si="4"/>
        <v>163</v>
      </c>
      <c r="F132" s="68" t="str">
        <f>IFERROR(INDEX($A$2:$A$226,MATCH(ROWS($E$2:E132),$E$2:$E$226,0)),"")</f>
        <v>PORTALES</v>
      </c>
      <c r="G132" s="69">
        <f>IF(ISERROR(SEARCH('80-120'!$A$5,$F132)),0,1)</f>
        <v>1</v>
      </c>
      <c r="H132" s="69">
        <f>IF($G132=0,"",COUNTIF($G$2:G132,1))</f>
        <v>131</v>
      </c>
      <c r="I132" s="69" t="str">
        <f t="shared" si="5"/>
        <v>PORTALES</v>
      </c>
    </row>
    <row r="133" spans="1:9">
      <c r="A133" s="67" t="s">
        <v>128</v>
      </c>
      <c r="B133" s="67" t="s">
        <v>132</v>
      </c>
      <c r="C133" s="67" t="s">
        <v>32</v>
      </c>
      <c r="D133" s="67" t="s">
        <v>720</v>
      </c>
      <c r="E133" s="68">
        <f t="shared" si="4"/>
        <v>17</v>
      </c>
      <c r="F133" s="68" t="str">
        <f>IFERROR(INDEX($A$2:$A$226,MATCH(ROWS($E$2:E133),$E$2:$E$226,0)),"")</f>
        <v>QUEMADO</v>
      </c>
      <c r="G133" s="69">
        <f>IF(ISERROR(SEARCH('80-120'!$A$5,$F133)),0,1)</f>
        <v>1</v>
      </c>
      <c r="H133" s="69">
        <f>IF($G133=0,"",COUNTIF($G$2:G133,1))</f>
        <v>132</v>
      </c>
      <c r="I133" s="69" t="str">
        <f t="shared" si="5"/>
        <v>QUEMADO</v>
      </c>
    </row>
    <row r="134" spans="1:9">
      <c r="A134" s="67" t="s">
        <v>512</v>
      </c>
      <c r="B134" s="67" t="s">
        <v>513</v>
      </c>
      <c r="C134" s="67" t="s">
        <v>32</v>
      </c>
      <c r="D134" s="67" t="s">
        <v>720</v>
      </c>
      <c r="E134" s="68">
        <f t="shared" si="4"/>
        <v>167</v>
      </c>
      <c r="F134" s="68" t="str">
        <f>IFERROR(INDEX($A$2:$A$226,MATCH(ROWS($E$2:E134),$E$2:$E$226,0)),"")</f>
        <v>QUESTA</v>
      </c>
      <c r="G134" s="69">
        <f>IF(ISERROR(SEARCH('80-120'!$A$5,$F134)),0,1)</f>
        <v>1</v>
      </c>
      <c r="H134" s="69">
        <f>IF($G134=0,"",COUNTIF($G$2:G134,1))</f>
        <v>133</v>
      </c>
      <c r="I134" s="69" t="str">
        <f t="shared" si="5"/>
        <v>QUESTA</v>
      </c>
    </row>
    <row r="135" spans="1:9">
      <c r="A135" s="67" t="s">
        <v>546</v>
      </c>
      <c r="B135" s="67" t="s">
        <v>518</v>
      </c>
      <c r="C135" s="67" t="s">
        <v>32</v>
      </c>
      <c r="D135" s="67" t="s">
        <v>720</v>
      </c>
      <c r="E135" s="68">
        <f t="shared" si="4"/>
        <v>181</v>
      </c>
      <c r="F135" s="68" t="str">
        <f>IFERROR(INDEX($A$2:$A$226,MATCH(ROWS($E$2:E135),$E$2:$E$226,0)),"")</f>
        <v>RAICES DEL SABER XINACHTLI</v>
      </c>
      <c r="G135" s="69">
        <f>IF(ISERROR(SEARCH('80-120'!$A$5,$F135)),0,1)</f>
        <v>1</v>
      </c>
      <c r="H135" s="69">
        <f>IF($G135=0,"",COUNTIF($G$2:G135,1))</f>
        <v>134</v>
      </c>
      <c r="I135" s="69" t="str">
        <f t="shared" si="5"/>
        <v>RAICES DEL SABER XINACHTLI</v>
      </c>
    </row>
    <row r="136" spans="1:9">
      <c r="A136" s="67"/>
      <c r="B136" s="67"/>
      <c r="C136" s="67"/>
      <c r="D136" s="67"/>
      <c r="E136" s="68">
        <f t="shared" si="4"/>
        <v>0</v>
      </c>
      <c r="F136" s="68" t="str">
        <f>IFERROR(INDEX($A$2:$A$226,MATCH(ROWS($E$2:E136),$E$2:$E$226,0)),"")</f>
        <v>RATON</v>
      </c>
      <c r="G136" s="69">
        <f>IF(ISERROR(SEARCH('80-120'!$A$5,$F136)),0,1)</f>
        <v>1</v>
      </c>
      <c r="H136" s="69">
        <f>IF($G136=0,"",COUNTIF($G$2:G136,1))</f>
        <v>135</v>
      </c>
      <c r="I136" s="69" t="str">
        <f t="shared" si="5"/>
        <v>RATON</v>
      </c>
    </row>
    <row r="137" spans="1:9">
      <c r="A137" s="67" t="s">
        <v>519</v>
      </c>
      <c r="B137" s="67" t="s">
        <v>521</v>
      </c>
      <c r="C137" s="67" t="s">
        <v>26</v>
      </c>
      <c r="D137" s="67" t="s">
        <v>725</v>
      </c>
      <c r="E137" s="68">
        <f t="shared" si="4"/>
        <v>168</v>
      </c>
      <c r="F137" s="68" t="str">
        <f>IFERROR(INDEX($A$2:$A$226,MATCH(ROWS($E$2:E137),$E$2:$E$226,0)),"")</f>
        <v>RED RIVER VALLEY</v>
      </c>
      <c r="G137" s="69">
        <f>IF(ISERROR(SEARCH('80-120'!$A$5,$F137)),0,1)</f>
        <v>1</v>
      </c>
      <c r="H137" s="69">
        <f>IF($G137=0,"",COUNTIF($G$2:G137,1))</f>
        <v>136</v>
      </c>
      <c r="I137" s="69" t="str">
        <f t="shared" si="5"/>
        <v>RED RIVER VALLEY</v>
      </c>
    </row>
    <row r="138" spans="1:9">
      <c r="A138" s="67" t="s">
        <v>522</v>
      </c>
      <c r="B138" s="67" t="s">
        <v>524</v>
      </c>
      <c r="C138" s="67" t="s">
        <v>26</v>
      </c>
      <c r="D138" s="67" t="s">
        <v>726</v>
      </c>
      <c r="E138" s="68">
        <f t="shared" si="4"/>
        <v>170</v>
      </c>
      <c r="F138" s="68" t="str">
        <f>IFERROR(INDEX($A$2:$A$226,MATCH(ROWS($E$2:E138),$E$2:$E$226,0)),"")</f>
        <v>RESERVE</v>
      </c>
      <c r="G138" s="69">
        <f>IF(ISERROR(SEARCH('80-120'!$A$5,$F138)),0,1)</f>
        <v>1</v>
      </c>
      <c r="H138" s="69">
        <f>IF($G138=0,"",COUNTIF($G$2:G138,1))</f>
        <v>137</v>
      </c>
      <c r="I138" s="69" t="str">
        <f t="shared" si="5"/>
        <v>RESERVE</v>
      </c>
    </row>
    <row r="139" spans="1:9">
      <c r="A139" s="67" t="s">
        <v>560</v>
      </c>
      <c r="B139" s="67" t="s">
        <v>527</v>
      </c>
      <c r="C139" s="67" t="s">
        <v>26</v>
      </c>
      <c r="D139" s="67" t="s">
        <v>727</v>
      </c>
      <c r="E139" s="68">
        <f t="shared" si="4"/>
        <v>175</v>
      </c>
      <c r="F139" s="68" t="str">
        <f>IFERROR(INDEX($A$2:$A$226,MATCH(ROWS($E$2:E139),$E$2:$E$226,0)),"")</f>
        <v>RIO GALLINAS CHARTER SCHOOL</v>
      </c>
      <c r="G139" s="69">
        <f>IF(ISERROR(SEARCH('80-120'!$A$5,$F139)),0,1)</f>
        <v>1</v>
      </c>
      <c r="H139" s="69">
        <f>IF($G139=0,"",COUNTIF($G$2:G139,1))</f>
        <v>138</v>
      </c>
      <c r="I139" s="69" t="str">
        <f t="shared" si="5"/>
        <v>RIO GALLINAS CHARTER SCHOOL</v>
      </c>
    </row>
    <row r="140" spans="1:9">
      <c r="A140" s="67" t="s">
        <v>529</v>
      </c>
      <c r="B140" s="67" t="s">
        <v>531</v>
      </c>
      <c r="C140" s="67" t="s">
        <v>26</v>
      </c>
      <c r="D140" s="67" t="s">
        <v>722</v>
      </c>
      <c r="E140" s="68">
        <f t="shared" si="4"/>
        <v>176</v>
      </c>
      <c r="F140" s="68" t="str">
        <f>IFERROR(INDEX($A$2:$A$226,MATCH(ROWS($E$2:E140),$E$2:$E$226,0)),"")</f>
        <v>RIO RANCHO</v>
      </c>
      <c r="G140" s="69">
        <f>IF(ISERROR(SEARCH('80-120'!$A$5,$F140)),0,1)</f>
        <v>1</v>
      </c>
      <c r="H140" s="69">
        <f>IF($G140=0,"",COUNTIF($G$2:G140,1))</f>
        <v>139</v>
      </c>
      <c r="I140" s="69" t="str">
        <f t="shared" si="5"/>
        <v>RIO RANCHO</v>
      </c>
    </row>
    <row r="141" spans="1:9">
      <c r="A141" s="67" t="s">
        <v>532</v>
      </c>
      <c r="B141" s="67" t="s">
        <v>533</v>
      </c>
      <c r="C141" s="67" t="s">
        <v>26</v>
      </c>
      <c r="D141" s="67" t="s">
        <v>674</v>
      </c>
      <c r="E141" s="68">
        <f t="shared" si="4"/>
        <v>177</v>
      </c>
      <c r="F141" s="68" t="str">
        <f>IFERROR(INDEX($A$2:$A$226,MATCH(ROWS($E$2:E141),$E$2:$E$226,0)),"")</f>
        <v>ROBERT F. KENNEDY</v>
      </c>
      <c r="G141" s="69">
        <f>IF(ISERROR(SEARCH('80-120'!$A$5,$F141)),0,1)</f>
        <v>1</v>
      </c>
      <c r="H141" s="69">
        <f>IF($G141=0,"",COUNTIF($G$2:G141,1))</f>
        <v>140</v>
      </c>
      <c r="I141" s="69" t="str">
        <f t="shared" si="5"/>
        <v>ROBERT F. KENNEDY</v>
      </c>
    </row>
    <row r="142" spans="1:9">
      <c r="A142" s="67" t="s">
        <v>534</v>
      </c>
      <c r="B142" s="67" t="s">
        <v>536</v>
      </c>
      <c r="C142" s="67" t="s">
        <v>26</v>
      </c>
      <c r="D142" s="67" t="s">
        <v>728</v>
      </c>
      <c r="E142" s="68">
        <f t="shared" si="4"/>
        <v>180</v>
      </c>
      <c r="F142" s="68" t="str">
        <f>IFERROR(INDEX($A$2:$A$226,MATCH(ROWS($E$2:E142),$E$2:$E$226,0)),"")</f>
        <v>ROOTS &amp; WINGS</v>
      </c>
      <c r="G142" s="69">
        <f>IF(ISERROR(SEARCH('80-120'!$A$5,$F142)),0,1)</f>
        <v>1</v>
      </c>
      <c r="H142" s="69">
        <f>IF($G142=0,"",COUNTIF($G$2:G142,1))</f>
        <v>141</v>
      </c>
      <c r="I142" s="69" t="str">
        <f t="shared" si="5"/>
        <v>ROOTS &amp; WINGS</v>
      </c>
    </row>
    <row r="143" spans="1:9">
      <c r="A143" s="67" t="s">
        <v>537</v>
      </c>
      <c r="B143" s="67" t="s">
        <v>539</v>
      </c>
      <c r="C143" s="67" t="s">
        <v>26</v>
      </c>
      <c r="D143" s="67" t="s">
        <v>713</v>
      </c>
      <c r="E143" s="68">
        <f t="shared" si="4"/>
        <v>183</v>
      </c>
      <c r="F143" s="68" t="str">
        <f>IFERROR(INDEX($A$2:$A$226,MATCH(ROWS($E$2:E143),$E$2:$E$226,0)),"")</f>
        <v>ROSWELL</v>
      </c>
      <c r="G143" s="69">
        <f>IF(ISERROR(SEARCH('80-120'!$A$5,$F143)),0,1)</f>
        <v>1</v>
      </c>
      <c r="H143" s="69">
        <f>IF($G143=0,"",COUNTIF($G$2:G143,1))</f>
        <v>142</v>
      </c>
      <c r="I143" s="69" t="str">
        <f t="shared" si="5"/>
        <v>ROSWELL</v>
      </c>
    </row>
    <row r="144" spans="1:9">
      <c r="A144" s="67" t="s">
        <v>540</v>
      </c>
      <c r="B144" s="67" t="s">
        <v>542</v>
      </c>
      <c r="C144" s="67" t="s">
        <v>26</v>
      </c>
      <c r="D144" s="67" t="s">
        <v>717</v>
      </c>
      <c r="E144" s="68">
        <f t="shared" si="4"/>
        <v>185</v>
      </c>
      <c r="F144" s="68" t="str">
        <f>IFERROR(INDEX($A$2:$A$226,MATCH(ROWS($E$2:E144),$E$2:$E$226,0)),"")</f>
        <v>ROY</v>
      </c>
      <c r="G144" s="69">
        <f>IF(ISERROR(SEARCH('80-120'!$A$5,$F144)),0,1)</f>
        <v>1</v>
      </c>
      <c r="H144" s="69">
        <f>IF($G144=0,"",COUNTIF($G$2:G144,1))</f>
        <v>143</v>
      </c>
      <c r="I144" s="69" t="str">
        <f t="shared" si="5"/>
        <v>ROY</v>
      </c>
    </row>
    <row r="145" spans="1:9">
      <c r="A145" s="67" t="s">
        <v>559</v>
      </c>
      <c r="B145" s="67" t="s">
        <v>548</v>
      </c>
      <c r="C145" s="67" t="s">
        <v>32</v>
      </c>
      <c r="D145" s="67" t="s">
        <v>717</v>
      </c>
      <c r="E145" s="68">
        <f t="shared" si="4"/>
        <v>138</v>
      </c>
      <c r="F145" s="68" t="str">
        <f>IFERROR(INDEX($A$2:$A$226,MATCH(ROWS($E$2:E145),$E$2:$E$226,0)),"")</f>
        <v>RUIDOSO</v>
      </c>
      <c r="G145" s="69">
        <f>IF(ISERROR(SEARCH('80-120'!$A$5,$F145)),0,1)</f>
        <v>1</v>
      </c>
      <c r="H145" s="69">
        <f>IF($G145=0,"",COUNTIF($G$2:G145,1))</f>
        <v>144</v>
      </c>
      <c r="I145" s="69" t="str">
        <f t="shared" si="5"/>
        <v>RUIDOSO</v>
      </c>
    </row>
    <row r="146" spans="1:9">
      <c r="A146" s="67"/>
      <c r="B146" s="67"/>
      <c r="C146" s="67"/>
      <c r="D146" s="67"/>
      <c r="E146" s="68">
        <f t="shared" si="4"/>
        <v>0</v>
      </c>
      <c r="F146" s="68" t="str">
        <f>IFERROR(INDEX($A$2:$A$226,MATCH(ROWS($E$2:E146),$E$2:$E$226,0)),"")</f>
        <v>SAN DIEGO RIVERSIDE CHARTER</v>
      </c>
      <c r="G146" s="69">
        <f>IF(ISERROR(SEARCH('80-120'!$A$5,$F146)),0,1)</f>
        <v>1</v>
      </c>
      <c r="H146" s="69">
        <f>IF($G146=0,"",COUNTIF($G$2:G146,1))</f>
        <v>145</v>
      </c>
      <c r="I146" s="69" t="str">
        <f t="shared" si="5"/>
        <v>SAN DIEGO RIVERSIDE CHARTER</v>
      </c>
    </row>
    <row r="147" spans="1:9">
      <c r="A147" s="67" t="s">
        <v>550</v>
      </c>
      <c r="B147" s="67" t="s">
        <v>552</v>
      </c>
      <c r="C147" s="67" t="s">
        <v>26</v>
      </c>
      <c r="D147" s="67" t="s">
        <v>700</v>
      </c>
      <c r="E147" s="68">
        <f t="shared" si="4"/>
        <v>187</v>
      </c>
      <c r="F147" s="68" t="str">
        <f>IFERROR(INDEX($A$2:$A$226,MATCH(ROWS($E$2:E147),$E$2:$E$226,0)),"")</f>
        <v>SAN JON</v>
      </c>
      <c r="G147" s="69">
        <f>IF(ISERROR(SEARCH('80-120'!$A$5,$F147)),0,1)</f>
        <v>1</v>
      </c>
      <c r="H147" s="69">
        <f>IF($G147=0,"",COUNTIF($G$2:G147,1))</f>
        <v>146</v>
      </c>
      <c r="I147" s="69" t="str">
        <f t="shared" si="5"/>
        <v>SAN JON</v>
      </c>
    </row>
    <row r="148" spans="1:9">
      <c r="A148" s="67"/>
      <c r="B148" s="67"/>
      <c r="C148" s="67"/>
      <c r="D148" s="67"/>
      <c r="E148" s="68">
        <f t="shared" si="4"/>
        <v>0</v>
      </c>
      <c r="F148" s="68" t="str">
        <f>IFERROR(INDEX($A$2:$A$226,MATCH(ROWS($E$2:E148),$E$2:$E$226,0)),"")</f>
        <v>SANDOVAL ACADEMY OF BIL ED SABE</v>
      </c>
      <c r="G148" s="69">
        <f>IF(ISERROR(SEARCH('80-120'!$A$5,$F148)),0,1)</f>
        <v>1</v>
      </c>
      <c r="H148" s="69">
        <f>IF($G148=0,"",COUNTIF($G$2:G148,1))</f>
        <v>147</v>
      </c>
      <c r="I148" s="69" t="str">
        <f t="shared" si="5"/>
        <v>SANDOVAL ACADEMY OF BIL ED SABE</v>
      </c>
    </row>
    <row r="149" spans="1:9">
      <c r="A149" s="67" t="s">
        <v>43</v>
      </c>
      <c r="B149" s="67" t="s">
        <v>45</v>
      </c>
      <c r="C149" s="67" t="s">
        <v>46</v>
      </c>
      <c r="D149" s="67" t="s">
        <v>729</v>
      </c>
      <c r="E149" s="68">
        <f t="shared" si="4"/>
        <v>3</v>
      </c>
      <c r="F149" s="68" t="str">
        <f>IFERROR(INDEX($A$2:$A$226,MATCH(ROWS($E$2:E149),$E$2:$E$226,0)),"")</f>
        <v>SANTA FE</v>
      </c>
      <c r="G149" s="69">
        <f>IF(ISERROR(SEARCH('80-120'!$A$5,$F149)),0,1)</f>
        <v>1</v>
      </c>
      <c r="H149" s="69">
        <f>IF($G149=0,"",COUNTIF($G$2:G149,1))</f>
        <v>148</v>
      </c>
      <c r="I149" s="69" t="str">
        <f t="shared" si="5"/>
        <v>SANTA FE</v>
      </c>
    </row>
    <row r="150" spans="1:9">
      <c r="A150" s="67" t="s">
        <v>65</v>
      </c>
      <c r="B150" s="67" t="s">
        <v>67</v>
      </c>
      <c r="C150" s="67" t="s">
        <v>46</v>
      </c>
      <c r="D150" s="67" t="s">
        <v>729</v>
      </c>
      <c r="E150" s="68">
        <f t="shared" si="4"/>
        <v>7</v>
      </c>
      <c r="F150" s="68" t="str">
        <f>IFERROR(INDEX($A$2:$A$226,MATCH(ROWS($E$2:E150),$E$2:$E$226,0)),"")</f>
        <v>SANTA ROSA</v>
      </c>
      <c r="G150" s="69">
        <f>IF(ISERROR(SEARCH('80-120'!$A$5,$F150)),0,1)</f>
        <v>1</v>
      </c>
      <c r="H150" s="69">
        <f>IF($G150=0,"",COUNTIF($G$2:G150,1))</f>
        <v>149</v>
      </c>
      <c r="I150" s="69" t="str">
        <f t="shared" si="5"/>
        <v>SANTA ROSA</v>
      </c>
    </row>
    <row r="151" spans="1:9">
      <c r="A151" s="67" t="s">
        <v>75</v>
      </c>
      <c r="B151" s="67" t="s">
        <v>77</v>
      </c>
      <c r="C151" s="67" t="s">
        <v>46</v>
      </c>
      <c r="D151" s="67" t="s">
        <v>729</v>
      </c>
      <c r="E151" s="68">
        <f t="shared" si="4"/>
        <v>9</v>
      </c>
      <c r="F151" s="68" t="str">
        <f>IFERROR(INDEX($A$2:$A$226,MATCH(ROWS($E$2:E151),$E$2:$E$226,0)),"")</f>
        <v>SCHOOL OF DREAMS ST. CHARTER</v>
      </c>
      <c r="G151" s="69">
        <f>IF(ISERROR(SEARCH('80-120'!$A$5,$F151)),0,1)</f>
        <v>1</v>
      </c>
      <c r="H151" s="69">
        <f>IF($G151=0,"",COUNTIF($G$2:G151,1))</f>
        <v>150</v>
      </c>
      <c r="I151" s="69" t="str">
        <f t="shared" si="5"/>
        <v>SCHOOL OF DREAMS ST. CHARTER</v>
      </c>
    </row>
    <row r="152" spans="1:9">
      <c r="A152" s="67" t="s">
        <v>51</v>
      </c>
      <c r="B152" s="67" t="s">
        <v>53</v>
      </c>
      <c r="C152" s="67" t="s">
        <v>46</v>
      </c>
      <c r="D152" s="67" t="s">
        <v>729</v>
      </c>
      <c r="E152" s="68">
        <f t="shared" si="4"/>
        <v>4</v>
      </c>
      <c r="F152" s="68" t="str">
        <f>IFERROR(INDEX($A$2:$A$226,MATCH(ROWS($E$2:E152),$E$2:$E$226,0)),"")</f>
        <v>SIDNEY GUTIERREZ</v>
      </c>
      <c r="G152" s="69">
        <f>IF(ISERROR(SEARCH('80-120'!$A$5,$F152)),0,1)</f>
        <v>1</v>
      </c>
      <c r="H152" s="69">
        <f>IF($G152=0,"",COUNTIF($G$2:G152,1))</f>
        <v>151</v>
      </c>
      <c r="I152" s="69" t="str">
        <f t="shared" si="5"/>
        <v>SIDNEY GUTIERREZ</v>
      </c>
    </row>
    <row r="153" spans="1:9">
      <c r="A153" s="67" t="s">
        <v>82</v>
      </c>
      <c r="B153" s="67" t="s">
        <v>84</v>
      </c>
      <c r="C153" s="67" t="s">
        <v>46</v>
      </c>
      <c r="D153" s="67" t="s">
        <v>729</v>
      </c>
      <c r="E153" s="68">
        <f t="shared" si="4"/>
        <v>10</v>
      </c>
      <c r="F153" s="68" t="str">
        <f>IFERROR(INDEX($A$2:$A$226,MATCH(ROWS($E$2:E153),$E$2:$E$226,0)),"")</f>
        <v>SIEMBRA LEADERSHIP HIGH SCHOOL</v>
      </c>
      <c r="G153" s="69">
        <f>IF(ISERROR(SEARCH('80-120'!$A$5,$F153)),0,1)</f>
        <v>1</v>
      </c>
      <c r="H153" s="69">
        <f>IF($G153=0,"",COUNTIF($G$2:G153,1))</f>
        <v>152</v>
      </c>
      <c r="I153" s="69" t="str">
        <f t="shared" si="5"/>
        <v>SIEMBRA LEADERSHIP HIGH SCHOOL</v>
      </c>
    </row>
    <row r="154" spans="1:9">
      <c r="A154" s="67" t="s">
        <v>88</v>
      </c>
      <c r="B154" s="67" t="s">
        <v>90</v>
      </c>
      <c r="C154" s="67" t="s">
        <v>46</v>
      </c>
      <c r="D154" s="67" t="s">
        <v>729</v>
      </c>
      <c r="E154" s="68">
        <f t="shared" si="4"/>
        <v>11</v>
      </c>
      <c r="F154" s="68" t="str">
        <f>IFERROR(INDEX($A$2:$A$226,MATCH(ROWS($E$2:E154),$E$2:$E$226,0)),"")</f>
        <v>SILVER CITY CONS.</v>
      </c>
      <c r="G154" s="69">
        <f>IF(ISERROR(SEARCH('80-120'!$A$5,$F154)),0,1)</f>
        <v>1</v>
      </c>
      <c r="H154" s="69">
        <f>IF($G154=0,"",COUNTIF($G$2:G154,1))</f>
        <v>153</v>
      </c>
      <c r="I154" s="69" t="str">
        <f t="shared" si="5"/>
        <v>SILVER CITY CONS.</v>
      </c>
    </row>
    <row r="155" spans="1:9">
      <c r="A155" s="67" t="s">
        <v>95</v>
      </c>
      <c r="B155" s="67" t="s">
        <v>98</v>
      </c>
      <c r="C155" s="67" t="s">
        <v>46</v>
      </c>
      <c r="D155" s="67" t="s">
        <v>688</v>
      </c>
      <c r="E155" s="68">
        <f t="shared" si="4"/>
        <v>12</v>
      </c>
      <c r="F155" s="68" t="str">
        <f>IFERROR(INDEX($A$2:$A$226,MATCH(ROWS($E$2:E155),$E$2:$E$226,0)),"")</f>
        <v>SIX DIRECTIONS</v>
      </c>
      <c r="G155" s="69">
        <f>IF(ISERROR(SEARCH('80-120'!$A$5,$F155)),0,1)</f>
        <v>1</v>
      </c>
      <c r="H155" s="69">
        <f>IF($G155=0,"",COUNTIF($G$2:G155,1))</f>
        <v>154</v>
      </c>
      <c r="I155" s="69" t="str">
        <f t="shared" si="5"/>
        <v>SIX DIRECTIONS</v>
      </c>
    </row>
    <row r="156" spans="1:9">
      <c r="A156" s="67" t="s">
        <v>106</v>
      </c>
      <c r="B156" s="67" t="s">
        <v>109</v>
      </c>
      <c r="C156" s="67" t="s">
        <v>46</v>
      </c>
      <c r="D156" s="67" t="s">
        <v>703</v>
      </c>
      <c r="E156" s="68">
        <f t="shared" si="4"/>
        <v>14</v>
      </c>
      <c r="F156" s="68" t="str">
        <f>IFERROR(INDEX($A$2:$A$226,MATCH(ROWS($E$2:E156),$E$2:$E$226,0)),"")</f>
        <v>SOCORRO</v>
      </c>
      <c r="G156" s="69">
        <f>IF(ISERROR(SEARCH('80-120'!$A$5,$F156)),0,1)</f>
        <v>1</v>
      </c>
      <c r="H156" s="69">
        <f>IF($G156=0,"",COUNTIF($G$2:G156,1))</f>
        <v>155</v>
      </c>
      <c r="I156" s="69" t="str">
        <f t="shared" si="5"/>
        <v>SOCORRO</v>
      </c>
    </row>
    <row r="157" spans="1:9">
      <c r="A157" s="67" t="s">
        <v>114</v>
      </c>
      <c r="B157" s="67" t="s">
        <v>116</v>
      </c>
      <c r="C157" s="67" t="s">
        <v>46</v>
      </c>
      <c r="D157" s="67" t="s">
        <v>729</v>
      </c>
      <c r="E157" s="68">
        <f t="shared" si="4"/>
        <v>15</v>
      </c>
      <c r="F157" s="68" t="str">
        <f>IFERROR(INDEX($A$2:$A$226,MATCH(ROWS($E$2:E157),$E$2:$E$226,0)),"")</f>
        <v>SOLARE COLLEGIATE</v>
      </c>
      <c r="G157" s="69">
        <f>IF(ISERROR(SEARCH('80-120'!$A$5,$F157)),0,1)</f>
        <v>1</v>
      </c>
      <c r="H157" s="69">
        <f>IF($G157=0,"",COUNTIF($G$2:G157,1))</f>
        <v>156</v>
      </c>
      <c r="I157" s="69" t="str">
        <f t="shared" si="5"/>
        <v>SOLARE COLLEGIATE</v>
      </c>
    </row>
    <row r="158" spans="1:9">
      <c r="A158" s="67" t="s">
        <v>121</v>
      </c>
      <c r="B158" s="67" t="s">
        <v>123</v>
      </c>
      <c r="C158" s="67" t="s">
        <v>46</v>
      </c>
      <c r="D158" s="67" t="s">
        <v>729</v>
      </c>
      <c r="E158" s="68">
        <f t="shared" si="4"/>
        <v>16</v>
      </c>
      <c r="F158" s="68" t="str">
        <f>IFERROR(INDEX($A$2:$A$226,MATCH(ROWS($E$2:E158),$E$2:$E$226,0)),"")</f>
        <v>SOUTH VALLEY</v>
      </c>
      <c r="G158" s="69">
        <f>IF(ISERROR(SEARCH('80-120'!$A$5,$F158)),0,1)</f>
        <v>1</v>
      </c>
      <c r="H158" s="69">
        <f>IF($G158=0,"",COUNTIF($G$2:G158,1))</f>
        <v>157</v>
      </c>
      <c r="I158" s="69" t="str">
        <f t="shared" si="5"/>
        <v>SOUTH VALLEY</v>
      </c>
    </row>
    <row r="159" spans="1:9">
      <c r="A159" s="67" t="s">
        <v>149</v>
      </c>
      <c r="B159" s="67" t="s">
        <v>152</v>
      </c>
      <c r="C159" s="67" t="s">
        <v>46</v>
      </c>
      <c r="D159" s="67" t="s">
        <v>680</v>
      </c>
      <c r="E159" s="68">
        <f t="shared" si="4"/>
        <v>20</v>
      </c>
      <c r="F159" s="68" t="str">
        <f>IFERROR(INDEX($A$2:$A$226,MATCH(ROWS($E$2:E159),$E$2:$E$226,0)),"")</f>
        <v>SOUTH VALLEY PREP ST. CHARTER</v>
      </c>
      <c r="G159" s="69">
        <f>IF(ISERROR(SEARCH('80-120'!$A$5,$F159)),0,1)</f>
        <v>1</v>
      </c>
      <c r="H159" s="69">
        <f>IF($G159=0,"",COUNTIF($G$2:G159,1))</f>
        <v>158</v>
      </c>
      <c r="I159" s="69" t="str">
        <f t="shared" si="5"/>
        <v>SOUTH VALLEY PREP ST. CHARTER</v>
      </c>
    </row>
    <row r="160" spans="1:9">
      <c r="A160" s="67" t="s">
        <v>210</v>
      </c>
      <c r="B160" s="67" t="s">
        <v>212</v>
      </c>
      <c r="C160" s="67" t="s">
        <v>46</v>
      </c>
      <c r="D160" s="67" t="s">
        <v>729</v>
      </c>
      <c r="E160" s="68">
        <f t="shared" si="4"/>
        <v>29</v>
      </c>
      <c r="F160" s="68" t="str">
        <f>IFERROR(INDEX($A$2:$A$226,MATCH(ROWS($E$2:E160),$E$2:$E$226,0)),"")</f>
        <v>SOUTHWEST PREPATORY LEARNING CENTER</v>
      </c>
      <c r="G160" s="69">
        <f>IF(ISERROR(SEARCH('80-120'!$A$5,$F160)),0,1)</f>
        <v>1</v>
      </c>
      <c r="H160" s="69">
        <f>IF($G160=0,"",COUNTIF($G$2:G160,1))</f>
        <v>159</v>
      </c>
      <c r="I160" s="69" t="str">
        <f t="shared" si="5"/>
        <v>SOUTHWEST PREPATORY LEARNING CENTER</v>
      </c>
    </row>
    <row r="161" spans="1:9">
      <c r="A161" s="67" t="s">
        <v>262</v>
      </c>
      <c r="B161" s="67" t="s">
        <v>265</v>
      </c>
      <c r="C161" s="67" t="s">
        <v>46</v>
      </c>
      <c r="D161" s="67" t="s">
        <v>730</v>
      </c>
      <c r="E161" s="68">
        <f t="shared" si="4"/>
        <v>44</v>
      </c>
      <c r="F161" s="68" t="str">
        <f>IFERROR(INDEX($A$2:$A$226,MATCH(ROWS($E$2:E161),$E$2:$E$226,0)),"")</f>
        <v>SOUTHWEST SECONDARY LEARNING CENTER</v>
      </c>
      <c r="G161" s="69">
        <f>IF(ISERROR(SEARCH('80-120'!$A$5,$F161)),0,1)</f>
        <v>1</v>
      </c>
      <c r="H161" s="69">
        <f>IF($G161=0,"",COUNTIF($G$2:G161,1))</f>
        <v>160</v>
      </c>
      <c r="I161" s="69" t="str">
        <f t="shared" si="5"/>
        <v>SOUTHWEST SECONDARY LEARNING CENTER</v>
      </c>
    </row>
    <row r="162" spans="1:9">
      <c r="A162" s="67" t="s">
        <v>731</v>
      </c>
      <c r="B162" s="67" t="s">
        <v>309</v>
      </c>
      <c r="C162" s="67" t="s">
        <v>46</v>
      </c>
      <c r="D162" s="67" t="s">
        <v>718</v>
      </c>
      <c r="E162" s="68">
        <f t="shared" si="4"/>
        <v>58</v>
      </c>
      <c r="F162" s="68" t="str">
        <f>IFERROR(INDEX($A$2:$A$226,MATCH(ROWS($E$2:E162),$E$2:$E$226,0)),"")</f>
        <v>SPRINGER</v>
      </c>
      <c r="G162" s="69">
        <f>IF(ISERROR(SEARCH('80-120'!$A$5,$F162)),0,1)</f>
        <v>1</v>
      </c>
      <c r="H162" s="69">
        <f>IF($G162=0,"",COUNTIF($G$2:G162,1))</f>
        <v>161</v>
      </c>
      <c r="I162" s="69" t="str">
        <f t="shared" si="5"/>
        <v>SPRINGER</v>
      </c>
    </row>
    <row r="163" spans="1:9">
      <c r="A163" s="67" t="s">
        <v>582</v>
      </c>
      <c r="B163" s="67" t="s">
        <v>315</v>
      </c>
      <c r="C163" s="67" t="s">
        <v>46</v>
      </c>
      <c r="D163" s="67" t="s">
        <v>729</v>
      </c>
      <c r="E163" s="68">
        <f t="shared" si="4"/>
        <v>60</v>
      </c>
      <c r="F163" s="68" t="str">
        <f>IFERROR(INDEX($A$2:$A$226,MATCH(ROWS($E$2:E163),$E$2:$E$226,0)),"")</f>
        <v>SW AERONAUTICS, MATHEMATICS AND SCIENCE ACADEMY</v>
      </c>
      <c r="G163" s="69">
        <f>IF(ISERROR(SEARCH('80-120'!$A$5,$F163)),0,1)</f>
        <v>1</v>
      </c>
      <c r="H163" s="69">
        <f>IF($G163=0,"",COUNTIF($G$2:G163,1))</f>
        <v>162</v>
      </c>
      <c r="I163" s="69" t="str">
        <f t="shared" si="5"/>
        <v>SW AERONAUTICS, MATHEMATICS AND SCIENCE ACADEMY</v>
      </c>
    </row>
    <row r="164" spans="1:9">
      <c r="A164" s="70" t="s">
        <v>583</v>
      </c>
      <c r="B164" s="70" t="s">
        <v>615</v>
      </c>
      <c r="C164" s="71" t="s">
        <v>46</v>
      </c>
      <c r="D164" s="71" t="s">
        <v>703</v>
      </c>
      <c r="E164" s="68">
        <f t="shared" si="4"/>
        <v>61</v>
      </c>
      <c r="F164" s="68" t="str">
        <f>IFERROR(INDEX($A$2:$A$226,MATCH(ROWS($E$2:E164),$E$2:$E$226,0)),"")</f>
        <v>TAOS</v>
      </c>
      <c r="G164" s="69">
        <f>IF(ISERROR(SEARCH('80-120'!$A$5,$F164)),0,1)</f>
        <v>1</v>
      </c>
      <c r="H164" s="69">
        <f>IF($G164=0,"",COUNTIF($G$2:G164,1))</f>
        <v>163</v>
      </c>
      <c r="I164" s="69" t="str">
        <f t="shared" si="5"/>
        <v>TAOS</v>
      </c>
    </row>
    <row r="165" spans="1:9">
      <c r="A165" s="67" t="s">
        <v>732</v>
      </c>
      <c r="B165" s="67" t="s">
        <v>350</v>
      </c>
      <c r="C165" s="67" t="s">
        <v>46</v>
      </c>
      <c r="D165" s="67" t="s">
        <v>729</v>
      </c>
      <c r="E165" s="68">
        <f t="shared" si="4"/>
        <v>76</v>
      </c>
      <c r="F165" s="68" t="str">
        <f>IFERROR(INDEX($A$2:$A$226,MATCH(ROWS($E$2:E165),$E$2:$E$226,0)),"")</f>
        <v>TAOS ACADEMY</v>
      </c>
      <c r="G165" s="69">
        <f>IF(ISERROR(SEARCH('80-120'!$A$5,$F165)),0,1)</f>
        <v>1</v>
      </c>
      <c r="H165" s="69">
        <f>IF($G165=0,"",COUNTIF($G$2:G165,1))</f>
        <v>164</v>
      </c>
      <c r="I165" s="69" t="str">
        <f t="shared" si="5"/>
        <v>TAOS ACADEMY</v>
      </c>
    </row>
    <row r="166" spans="1:9">
      <c r="A166" s="67" t="s">
        <v>585</v>
      </c>
      <c r="B166" s="67" t="s">
        <v>356</v>
      </c>
      <c r="C166" s="67" t="s">
        <v>46</v>
      </c>
      <c r="D166" s="67" t="s">
        <v>730</v>
      </c>
      <c r="E166" s="68">
        <f t="shared" si="4"/>
        <v>78</v>
      </c>
      <c r="F166" s="68" t="str">
        <f>IFERROR(INDEX($A$2:$A$226,MATCH(ROWS($E$2:E166),$E$2:$E$226,0)),"")</f>
        <v>TAOS INTEGRATED SCHOOL OF ARTS ST.</v>
      </c>
      <c r="G166" s="69">
        <f>IF(ISERROR(SEARCH('80-120'!$A$5,$F166)),0,1)</f>
        <v>1</v>
      </c>
      <c r="H166" s="69">
        <f>IF($G166=0,"",COUNTIF($G$2:G166,1))</f>
        <v>165</v>
      </c>
      <c r="I166" s="69" t="str">
        <f t="shared" si="5"/>
        <v>TAOS INTEGRATED SCHOOL OF ARTS ST.</v>
      </c>
    </row>
    <row r="167" spans="1:9">
      <c r="A167" s="67" t="s">
        <v>733</v>
      </c>
      <c r="B167" s="67" t="s">
        <v>359</v>
      </c>
      <c r="C167" s="67" t="s">
        <v>46</v>
      </c>
      <c r="D167" s="67" t="s">
        <v>703</v>
      </c>
      <c r="E167" s="68">
        <f t="shared" si="4"/>
        <v>80</v>
      </c>
      <c r="F167" s="68" t="str">
        <f>IFERROR(INDEX($A$2:$A$226,MATCH(ROWS($E$2:E167),$E$2:$E$226,0)),"")</f>
        <v>TAOS INTERNATIONAL</v>
      </c>
      <c r="G167" s="69">
        <f>IF(ISERROR(SEARCH('80-120'!$A$5,$F167)),0,1)</f>
        <v>1</v>
      </c>
      <c r="H167" s="69">
        <f>IF($G167=0,"",COUNTIF($G$2:G167,1))</f>
        <v>166</v>
      </c>
      <c r="I167" s="69" t="str">
        <f t="shared" si="5"/>
        <v>TAOS INTERNATIONAL</v>
      </c>
    </row>
    <row r="168" spans="1:9">
      <c r="A168" s="67" t="s">
        <v>590</v>
      </c>
      <c r="B168" s="67" t="s">
        <v>377</v>
      </c>
      <c r="C168" s="67" t="s">
        <v>46</v>
      </c>
      <c r="D168" s="67" t="s">
        <v>703</v>
      </c>
      <c r="E168" s="68">
        <f t="shared" si="4"/>
        <v>86</v>
      </c>
      <c r="F168" s="68" t="str">
        <f>IFERROR(INDEX($A$2:$A$226,MATCH(ROWS($E$2:E168),$E$2:$E$226,0)),"")</f>
        <v>TAOS MUNICIPAL CHARTER</v>
      </c>
      <c r="G168" s="69">
        <f>IF(ISERROR(SEARCH('80-120'!$A$5,$F168)),0,1)</f>
        <v>1</v>
      </c>
      <c r="H168" s="69">
        <f>IF($G168=0,"",COUNTIF($G$2:G168,1))</f>
        <v>167</v>
      </c>
      <c r="I168" s="69" t="str">
        <f t="shared" si="5"/>
        <v>TAOS MUNICIPAL CHARTER</v>
      </c>
    </row>
    <row r="169" spans="1:9">
      <c r="A169" s="67" t="s">
        <v>734</v>
      </c>
      <c r="B169" s="67" t="s">
        <v>382</v>
      </c>
      <c r="C169" s="67" t="s">
        <v>46</v>
      </c>
      <c r="D169" s="67" t="s">
        <v>684</v>
      </c>
      <c r="E169" s="68">
        <f t="shared" si="4"/>
        <v>87</v>
      </c>
      <c r="F169" s="68" t="str">
        <f>IFERROR(INDEX($A$2:$A$226,MATCH(ROWS($E$2:E169),$E$2:$E$226,0)),"")</f>
        <v>TATUM</v>
      </c>
      <c r="G169" s="69">
        <f>IF(ISERROR(SEARCH('80-120'!$A$5,$F169)),0,1)</f>
        <v>1</v>
      </c>
      <c r="H169" s="69">
        <f>IF($G169=0,"",COUNTIF($G$2:G169,1))</f>
        <v>168</v>
      </c>
      <c r="I169" s="69" t="str">
        <f t="shared" si="5"/>
        <v>TATUM</v>
      </c>
    </row>
    <row r="170" spans="1:9">
      <c r="A170" s="67" t="s">
        <v>735</v>
      </c>
      <c r="B170" s="67" t="s">
        <v>394</v>
      </c>
      <c r="C170" s="67" t="s">
        <v>46</v>
      </c>
      <c r="D170" s="67" t="s">
        <v>703</v>
      </c>
      <c r="E170" s="68">
        <f t="shared" si="4"/>
        <v>90</v>
      </c>
      <c r="F170" s="68" t="str">
        <f>IFERROR(INDEX($A$2:$A$226,MATCH(ROWS($E$2:E170),$E$2:$E$226,0)),"")</f>
        <v>TECHNOLOGY LEADERSHIP</v>
      </c>
      <c r="G170" s="69">
        <f>IF(ISERROR(SEARCH('80-120'!$A$5,$F170)),0,1)</f>
        <v>1</v>
      </c>
      <c r="H170" s="69">
        <f>IF($G170=0,"",COUNTIF($G$2:G170,1))</f>
        <v>169</v>
      </c>
      <c r="I170" s="69" t="str">
        <f t="shared" si="5"/>
        <v>TECHNOLOGY LEADERSHIP</v>
      </c>
    </row>
    <row r="171" spans="1:9">
      <c r="A171" s="67" t="s">
        <v>736</v>
      </c>
      <c r="B171" s="67" t="s">
        <v>429</v>
      </c>
      <c r="C171" s="67" t="s">
        <v>46</v>
      </c>
      <c r="D171" s="67" t="s">
        <v>718</v>
      </c>
      <c r="E171" s="68">
        <f t="shared" si="4"/>
        <v>101</v>
      </c>
      <c r="F171" s="68" t="str">
        <f>IFERROR(INDEX($A$2:$A$226,MATCH(ROWS($E$2:E171),$E$2:$E$226,0)),"")</f>
        <v>TEXICO</v>
      </c>
      <c r="G171" s="69">
        <f>IF(ISERROR(SEARCH('80-120'!$A$5,$F171)),0,1)</f>
        <v>1</v>
      </c>
      <c r="H171" s="69">
        <f>IF($G171=0,"",COUNTIF($G$2:G171,1))</f>
        <v>170</v>
      </c>
      <c r="I171" s="69" t="str">
        <f t="shared" si="5"/>
        <v>TEXICO</v>
      </c>
    </row>
    <row r="172" spans="1:9">
      <c r="A172" s="67" t="s">
        <v>599</v>
      </c>
      <c r="B172" s="67" t="s">
        <v>438</v>
      </c>
      <c r="C172" s="67" t="s">
        <v>46</v>
      </c>
      <c r="D172" s="67" t="s">
        <v>718</v>
      </c>
      <c r="E172" s="68">
        <f t="shared" si="4"/>
        <v>103</v>
      </c>
      <c r="F172" s="68" t="str">
        <f>IFERROR(INDEX($A$2:$A$226,MATCH(ROWS($E$2:E172),$E$2:$E$226,0)),"")</f>
        <v>THE ALBUQUERQUE TALENT AND DEVELOPMENT ACAD</v>
      </c>
      <c r="G172" s="69">
        <f>IF(ISERROR(SEARCH('80-120'!$A$5,$F172)),0,1)</f>
        <v>1</v>
      </c>
      <c r="H172" s="69">
        <f>IF($G172=0,"",COUNTIF($G$2:G172,1))</f>
        <v>171</v>
      </c>
      <c r="I172" s="69" t="str">
        <f t="shared" si="5"/>
        <v>THE ALBUQUERQUE TALENT AND DEVELOPMENT ACAD</v>
      </c>
    </row>
    <row r="173" spans="1:9">
      <c r="A173" s="67" t="s">
        <v>737</v>
      </c>
      <c r="B173" s="67" t="s">
        <v>444</v>
      </c>
      <c r="C173" s="67" t="s">
        <v>46</v>
      </c>
      <c r="D173" s="67" t="s">
        <v>729</v>
      </c>
      <c r="E173" s="68">
        <f t="shared" si="4"/>
        <v>104</v>
      </c>
      <c r="F173" s="68" t="str">
        <f>IFERROR(INDEX($A$2:$A$226,MATCH(ROWS($E$2:E173),$E$2:$E$226,0)),"")</f>
        <v>THE GREAT ACADEMY</v>
      </c>
      <c r="G173" s="69">
        <f>IF(ISERROR(SEARCH('80-120'!$A$5,$F173)),0,1)</f>
        <v>1</v>
      </c>
      <c r="H173" s="69">
        <f>IF($G173=0,"",COUNTIF($G$2:G173,1))</f>
        <v>172</v>
      </c>
      <c r="I173" s="69" t="str">
        <f t="shared" si="5"/>
        <v>THE GREAT ACADEMY</v>
      </c>
    </row>
    <row r="174" spans="1:9">
      <c r="A174" s="67" t="s">
        <v>738</v>
      </c>
      <c r="B174" s="67" t="s">
        <v>455</v>
      </c>
      <c r="C174" s="67" t="s">
        <v>46</v>
      </c>
      <c r="D174" s="67" t="s">
        <v>730</v>
      </c>
      <c r="E174" s="68">
        <f t="shared" si="4"/>
        <v>107</v>
      </c>
      <c r="F174" s="68" t="str">
        <f>IFERROR(INDEX($A$2:$A$226,MATCH(ROWS($E$2:E174),$E$2:$E$226,0)),"")</f>
        <v>TIERRA ADENTRO ST. CHARTER</v>
      </c>
      <c r="G174" s="69">
        <f>IF(ISERROR(SEARCH('80-120'!$A$5,$F174)),0,1)</f>
        <v>1</v>
      </c>
      <c r="H174" s="69">
        <f>IF($G174=0,"",COUNTIF($G$2:G174,1))</f>
        <v>173</v>
      </c>
      <c r="I174" s="69" t="str">
        <f t="shared" si="5"/>
        <v>TIERRA ADENTRO ST. CHARTER</v>
      </c>
    </row>
    <row r="175" spans="1:9">
      <c r="A175" s="67" t="s">
        <v>739</v>
      </c>
      <c r="B175" s="67" t="s">
        <v>461</v>
      </c>
      <c r="C175" s="67" t="s">
        <v>46</v>
      </c>
      <c r="D175" s="67" t="s">
        <v>729</v>
      </c>
      <c r="E175" s="68">
        <f t="shared" si="4"/>
        <v>108</v>
      </c>
      <c r="F175" s="68" t="str">
        <f>IFERROR(INDEX($A$2:$A$226,MATCH(ROWS($E$2:E175),$E$2:$E$226,0)),"")</f>
        <v>TIERRA ENCANTADA CHARTER</v>
      </c>
      <c r="G175" s="69">
        <f>IF(ISERROR(SEARCH('80-120'!$A$5,$F175)),0,1)</f>
        <v>1</v>
      </c>
      <c r="H175" s="69">
        <f>IF($G175=0,"",COUNTIF($G$2:G175,1))</f>
        <v>174</v>
      </c>
      <c r="I175" s="69" t="str">
        <f t="shared" si="5"/>
        <v>TIERRA ENCANTADA CHARTER</v>
      </c>
    </row>
    <row r="176" spans="1:9">
      <c r="A176" s="67" t="s">
        <v>740</v>
      </c>
      <c r="B176" s="67" t="s">
        <v>468</v>
      </c>
      <c r="C176" s="67" t="s">
        <v>46</v>
      </c>
      <c r="D176" s="67" t="s">
        <v>718</v>
      </c>
      <c r="E176" s="68">
        <f t="shared" si="4"/>
        <v>109</v>
      </c>
      <c r="F176" s="68" t="str">
        <f>IFERROR(INDEX($A$2:$A$226,MATCH(ROWS($E$2:E176),$E$2:$E$226,0)),"")</f>
        <v>TRUTH OR CONSEQ.</v>
      </c>
      <c r="G176" s="69">
        <f>IF(ISERROR(SEARCH('80-120'!$A$5,$F176)),0,1)</f>
        <v>1</v>
      </c>
      <c r="H176" s="69">
        <f>IF($G176=0,"",COUNTIF($G$2:G176,1))</f>
        <v>175</v>
      </c>
      <c r="I176" s="69" t="str">
        <f t="shared" si="5"/>
        <v>TRUTH OR CONSEQ.</v>
      </c>
    </row>
    <row r="177" spans="1:9">
      <c r="A177" s="67" t="s">
        <v>741</v>
      </c>
      <c r="B177" s="67" t="s">
        <v>473</v>
      </c>
      <c r="C177" s="67" t="s">
        <v>46</v>
      </c>
      <c r="D177" s="67" t="s">
        <v>729</v>
      </c>
      <c r="E177" s="68">
        <f t="shared" si="4"/>
        <v>110</v>
      </c>
      <c r="F177" s="68" t="str">
        <f>IFERROR(INDEX($A$2:$A$226,MATCH(ROWS($E$2:E177),$E$2:$E$226,0)),"")</f>
        <v>TUCUMCARI</v>
      </c>
      <c r="G177" s="69">
        <f>IF(ISERROR(SEARCH('80-120'!$A$5,$F177)),0,1)</f>
        <v>1</v>
      </c>
      <c r="H177" s="69">
        <f>IF($G177=0,"",COUNTIF($G$2:G177,1))</f>
        <v>176</v>
      </c>
      <c r="I177" s="69" t="str">
        <f t="shared" si="5"/>
        <v>TUCUMCARI</v>
      </c>
    </row>
    <row r="178" spans="1:9">
      <c r="A178" s="67" t="s">
        <v>497</v>
      </c>
      <c r="B178" s="67" t="s">
        <v>499</v>
      </c>
      <c r="C178" s="67" t="s">
        <v>46</v>
      </c>
      <c r="D178" s="67" t="s">
        <v>703</v>
      </c>
      <c r="E178" s="68">
        <f t="shared" si="4"/>
        <v>121</v>
      </c>
      <c r="F178" s="68" t="str">
        <f>IFERROR(INDEX($A$2:$A$226,MATCH(ROWS($E$2:E178),$E$2:$E$226,0)),"")</f>
        <v>TULAROSA</v>
      </c>
      <c r="G178" s="69">
        <f>IF(ISERROR(SEARCH('80-120'!$A$5,$F178)),0,1)</f>
        <v>1</v>
      </c>
      <c r="H178" s="69">
        <f>IF($G178=0,"",COUNTIF($G$2:G178,1))</f>
        <v>177</v>
      </c>
      <c r="I178" s="69" t="str">
        <f t="shared" si="5"/>
        <v>TULAROSA</v>
      </c>
    </row>
    <row r="179" spans="1:9">
      <c r="A179" s="67" t="s">
        <v>503</v>
      </c>
      <c r="B179" s="67" t="s">
        <v>505</v>
      </c>
      <c r="C179" s="67" t="s">
        <v>46</v>
      </c>
      <c r="D179" s="67" t="s">
        <v>718</v>
      </c>
      <c r="E179" s="68">
        <f t="shared" si="4"/>
        <v>122</v>
      </c>
      <c r="F179" s="68" t="str">
        <f>IFERROR(INDEX($A$2:$A$226,MATCH(ROWS($E$2:E179),$E$2:$E$226,0)),"")</f>
        <v>TURQUOISE TRAIL ELEMENTARY</v>
      </c>
      <c r="G179" s="69">
        <f>IF(ISERROR(SEARCH('80-120'!$A$5,$F179)),0,1)</f>
        <v>1</v>
      </c>
      <c r="H179" s="69">
        <f>IF($G179=0,"",COUNTIF($G$2:G179,1))</f>
        <v>178</v>
      </c>
      <c r="I179" s="69" t="str">
        <f t="shared" si="5"/>
        <v>TURQUOISE TRAIL ELEMENTARY</v>
      </c>
    </row>
    <row r="180" spans="1:9">
      <c r="A180" s="67" t="s">
        <v>742</v>
      </c>
      <c r="B180" s="67" t="s">
        <v>510</v>
      </c>
      <c r="C180" s="67" t="s">
        <v>46</v>
      </c>
      <c r="D180" s="67" t="s">
        <v>718</v>
      </c>
      <c r="E180" s="68">
        <f t="shared" si="4"/>
        <v>124</v>
      </c>
      <c r="F180" s="68" t="str">
        <f>IFERROR(INDEX($A$2:$A$226,MATCH(ROWS($E$2:E180),$E$2:$E$226,0)),"")</f>
        <v>Twenty First Century (21st CENTURY PUBLIC ACADEMY)</v>
      </c>
      <c r="G180" s="69">
        <f>IF(ISERROR(SEARCH('80-120'!$A$5,$F180)),0,1)</f>
        <v>1</v>
      </c>
      <c r="H180" s="69">
        <f>IF($G180=0,"",COUNTIF($G$2:G180,1))</f>
        <v>179</v>
      </c>
      <c r="I180" s="69" t="str">
        <f t="shared" si="5"/>
        <v>Twenty First Century (21st CENTURY PUBLIC ACADEMY)</v>
      </c>
    </row>
    <row r="181" spans="1:9">
      <c r="A181" s="67" t="s">
        <v>743</v>
      </c>
      <c r="B181" s="67" t="s">
        <v>516</v>
      </c>
      <c r="C181" s="67" t="s">
        <v>46</v>
      </c>
      <c r="D181" s="67" t="s">
        <v>729</v>
      </c>
      <c r="E181" s="68">
        <f t="shared" si="4"/>
        <v>125</v>
      </c>
      <c r="F181" s="68" t="str">
        <f>IFERROR(INDEX($A$2:$A$226,MATCH(ROWS($E$2:E181),$E$2:$E$226,0)),"")</f>
        <v>VAUGHN</v>
      </c>
      <c r="G181" s="69">
        <f>IF(ISERROR(SEARCH('80-120'!$A$5,$F181)),0,1)</f>
        <v>1</v>
      </c>
      <c r="H181" s="69">
        <f>IF($G181=0,"",COUNTIF($G$2:G181,1))</f>
        <v>180</v>
      </c>
      <c r="I181" s="69" t="str">
        <f t="shared" si="5"/>
        <v>VAUGHN</v>
      </c>
    </row>
    <row r="182" spans="1:9">
      <c r="A182" s="67" t="s">
        <v>744</v>
      </c>
      <c r="B182" s="67" t="s">
        <v>545</v>
      </c>
      <c r="C182" s="67" t="s">
        <v>46</v>
      </c>
      <c r="D182" s="67" t="s">
        <v>703</v>
      </c>
      <c r="E182" s="68">
        <f t="shared" si="4"/>
        <v>134</v>
      </c>
      <c r="F182" s="68" t="str">
        <f>IFERROR(INDEX($A$2:$A$226,MATCH(ROWS($E$2:E182),$E$2:$E$226,0)),"")</f>
        <v>VISTA GRANDE</v>
      </c>
      <c r="G182" s="69">
        <f>IF(ISERROR(SEARCH('80-120'!$A$5,$F182)),0,1)</f>
        <v>1</v>
      </c>
      <c r="H182" s="69">
        <f>IF($G182=0,"",COUNTIF($G$2:G182,1))</f>
        <v>181</v>
      </c>
      <c r="I182" s="69" t="str">
        <f t="shared" si="5"/>
        <v>VISTA GRANDE</v>
      </c>
    </row>
    <row r="183" spans="1:9">
      <c r="A183" s="67" t="s">
        <v>745</v>
      </c>
      <c r="B183" s="67" t="s">
        <v>555</v>
      </c>
      <c r="C183" s="67" t="s">
        <v>46</v>
      </c>
      <c r="D183" s="67" t="s">
        <v>720</v>
      </c>
      <c r="E183" s="68">
        <f t="shared" si="4"/>
        <v>136</v>
      </c>
      <c r="F183" s="68" t="str">
        <f>IFERROR(INDEX($A$2:$A$226,MATCH(ROWS($E$2:E183),$E$2:$E$226,0)),"")</f>
        <v>VOZ COLLEGIATE PREPARATORY CHARTER SCHOOL</v>
      </c>
      <c r="G183" s="69">
        <f>IF(ISERROR(SEARCH('80-120'!$A$5,$F183)),0,1)</f>
        <v>1</v>
      </c>
      <c r="H183" s="69">
        <f>IF($G183=0,"",COUNTIF($G$2:G183,1))</f>
        <v>182</v>
      </c>
      <c r="I183" s="69" t="str">
        <f t="shared" si="5"/>
        <v>VOZ COLLEGIATE PREPARATORY CHARTER SCHOOL</v>
      </c>
    </row>
    <row r="184" spans="1:9">
      <c r="A184" s="67" t="s">
        <v>746</v>
      </c>
      <c r="B184" s="67" t="s">
        <v>565</v>
      </c>
      <c r="C184" s="67" t="s">
        <v>46</v>
      </c>
      <c r="D184" s="67" t="s">
        <v>720</v>
      </c>
      <c r="E184" s="68">
        <f t="shared" si="4"/>
        <v>141</v>
      </c>
      <c r="F184" s="68" t="str">
        <f>IFERROR(INDEX($A$2:$A$226,MATCH(ROWS($E$2:E184),$E$2:$E$226,0)),"")</f>
        <v>WAGON MOUND</v>
      </c>
      <c r="G184" s="69">
        <f>IF(ISERROR(SEARCH('80-120'!$A$5,$F184)),0,1)</f>
        <v>1</v>
      </c>
      <c r="H184" s="69">
        <f>IF($G184=0,"",COUNTIF($G$2:G184,1))</f>
        <v>183</v>
      </c>
      <c r="I184" s="69" t="str">
        <f t="shared" si="5"/>
        <v>WAGON MOUND</v>
      </c>
    </row>
    <row r="185" spans="1:9">
      <c r="A185" s="67" t="s">
        <v>747</v>
      </c>
      <c r="B185" s="67" t="s">
        <v>574</v>
      </c>
      <c r="C185" s="67" t="s">
        <v>46</v>
      </c>
      <c r="D185" s="67" t="s">
        <v>680</v>
      </c>
      <c r="E185" s="68">
        <f t="shared" si="4"/>
        <v>147</v>
      </c>
      <c r="F185" s="68" t="str">
        <f>IFERROR(INDEX($A$2:$A$226,MATCH(ROWS($E$2:E185),$E$2:$E$226,0)),"")</f>
        <v>WALATOWA CHARTER HIGH SCHOOL</v>
      </c>
      <c r="G185" s="69">
        <f>IF(ISERROR(SEARCH('80-120'!$A$5,$F185)),0,1)</f>
        <v>1</v>
      </c>
      <c r="H185" s="69">
        <f>IF($G185=0,"",COUNTIF($G$2:G185,1))</f>
        <v>184</v>
      </c>
      <c r="I185" s="69" t="str">
        <f t="shared" si="5"/>
        <v>WALATOWA CHARTER HIGH SCHOOL</v>
      </c>
    </row>
    <row r="186" spans="1:9">
      <c r="A186" s="67" t="s">
        <v>748</v>
      </c>
      <c r="B186" s="67" t="s">
        <v>581</v>
      </c>
      <c r="C186" s="67" t="s">
        <v>46</v>
      </c>
      <c r="D186" s="67" t="s">
        <v>709</v>
      </c>
      <c r="E186" s="68">
        <f t="shared" si="4"/>
        <v>150</v>
      </c>
      <c r="F186" s="68" t="str">
        <f>IFERROR(INDEX($A$2:$A$226,MATCH(ROWS($E$2:E186),$E$2:$E$226,0)),"")</f>
        <v>WEST LAS VEGAS</v>
      </c>
      <c r="G186" s="69">
        <f>IF(ISERROR(SEARCH('80-120'!$A$5,$F186)),0,1)</f>
        <v>1</v>
      </c>
      <c r="H186" s="69">
        <f>IF($G186=0,"",COUNTIF($G$2:G186,1))</f>
        <v>185</v>
      </c>
      <c r="I186" s="69" t="str">
        <f t="shared" si="5"/>
        <v>WEST LAS VEGAS</v>
      </c>
    </row>
    <row r="187" spans="1:9">
      <c r="A187" s="67" t="s">
        <v>749</v>
      </c>
      <c r="B187" s="67" t="s">
        <v>588</v>
      </c>
      <c r="C187" s="67" t="s">
        <v>46</v>
      </c>
      <c r="D187" s="67" t="s">
        <v>730</v>
      </c>
      <c r="E187" s="68">
        <f t="shared" si="4"/>
        <v>154</v>
      </c>
      <c r="F187" s="68" t="str">
        <f>IFERROR(INDEX($A$2:$A$226,MATCH(ROWS($E$2:E187),$E$2:$E$226,0)),"")</f>
        <v>WILLIAM W &amp; JOSEPHINE DORN CHARTER</v>
      </c>
      <c r="G187" s="69">
        <f>IF(ISERROR(SEARCH('80-120'!$A$5,$F187)),0,1)</f>
        <v>1</v>
      </c>
      <c r="H187" s="69">
        <f>IF($G187=0,"",COUNTIF($G$2:G187,1))</f>
        <v>186</v>
      </c>
      <c r="I187" s="69" t="str">
        <f t="shared" si="5"/>
        <v>WILLIAM W &amp; JOSEPHINE DORN CHARTER</v>
      </c>
    </row>
    <row r="188" spans="1:9">
      <c r="A188" s="67" t="s">
        <v>750</v>
      </c>
      <c r="B188" s="67" t="s">
        <v>593</v>
      </c>
      <c r="C188" s="67" t="s">
        <v>46</v>
      </c>
      <c r="D188" s="67" t="s">
        <v>729</v>
      </c>
      <c r="E188" s="68">
        <f t="shared" si="4"/>
        <v>156</v>
      </c>
      <c r="F188" s="68" t="str">
        <f>IFERROR(INDEX($A$2:$A$226,MATCH(ROWS($E$2:E188),$E$2:$E$226,0)),"")</f>
        <v>ZUNI</v>
      </c>
      <c r="G188" s="69">
        <f>IF(ISERROR(SEARCH('80-120'!$A$5,$F188)),0,1)</f>
        <v>1</v>
      </c>
      <c r="H188" s="69">
        <f>IF($G188=0,"",COUNTIF($G$2:G188,1))</f>
        <v>187</v>
      </c>
      <c r="I188" s="69" t="str">
        <f t="shared" si="5"/>
        <v>ZUNI</v>
      </c>
    </row>
    <row r="189" spans="1:9">
      <c r="A189" s="67" t="s">
        <v>751</v>
      </c>
      <c r="B189" s="67" t="s">
        <v>598</v>
      </c>
      <c r="C189" s="67" t="s">
        <v>46</v>
      </c>
      <c r="D189" s="67" t="s">
        <v>729</v>
      </c>
      <c r="E189" s="68">
        <f t="shared" si="4"/>
        <v>158</v>
      </c>
      <c r="F189" s="68" t="str">
        <f>IFERROR(INDEX($A$2:$A$226,MATCH(ROWS($E$2:E189),$E$2:$E$226,0)),"")</f>
        <v/>
      </c>
      <c r="G189" s="69">
        <f>IF(ISERROR(SEARCH('80-120'!$A$5,$F189)),0,1)</f>
        <v>0</v>
      </c>
      <c r="H189" s="69" t="str">
        <f>IF($G189=0,"",COUNTIF($G$2:G189,1))</f>
        <v/>
      </c>
      <c r="I189" s="69" t="str">
        <f t="shared" si="5"/>
        <v/>
      </c>
    </row>
    <row r="190" spans="1:9">
      <c r="A190" s="67" t="s">
        <v>609</v>
      </c>
      <c r="B190" s="67" t="s">
        <v>611</v>
      </c>
      <c r="C190" s="67" t="s">
        <v>46</v>
      </c>
      <c r="D190" s="67" t="s">
        <v>729</v>
      </c>
      <c r="E190" s="68">
        <f t="shared" si="4"/>
        <v>162</v>
      </c>
      <c r="F190" s="68" t="str">
        <f>IFERROR(INDEX($A$2:$A$226,MATCH(ROWS($E$2:E190),$E$2:$E$226,0)),"")</f>
        <v/>
      </c>
      <c r="G190" s="69">
        <f>IF(ISERROR(SEARCH('80-120'!$A$5,$F190)),0,1)</f>
        <v>0</v>
      </c>
      <c r="H190" s="69" t="str">
        <f>IF($G190=0,"",COUNTIF($G$2:G190,1))</f>
        <v/>
      </c>
      <c r="I190" s="69" t="str">
        <f t="shared" si="5"/>
        <v/>
      </c>
    </row>
    <row r="191" spans="1:9">
      <c r="A191" s="67" t="s">
        <v>752</v>
      </c>
      <c r="B191" s="67" t="s">
        <v>602</v>
      </c>
      <c r="C191" s="67" t="s">
        <v>46</v>
      </c>
      <c r="D191" s="67" t="s">
        <v>729</v>
      </c>
      <c r="E191" s="68">
        <f t="shared" si="4"/>
        <v>159</v>
      </c>
      <c r="F191" s="68" t="str">
        <f>IFERROR(INDEX($A$2:$A$226,MATCH(ROWS($E$2:E191),$E$2:$E$226,0)),"")</f>
        <v/>
      </c>
      <c r="G191" s="69">
        <f>IF(ISERROR(SEARCH('80-120'!$A$5,$F191)),0,1)</f>
        <v>0</v>
      </c>
      <c r="H191" s="69" t="str">
        <f>IF($G191=0,"",COUNTIF($G$2:G191,1))</f>
        <v/>
      </c>
      <c r="I191" s="69" t="str">
        <f t="shared" si="5"/>
        <v/>
      </c>
    </row>
    <row r="192" spans="1:9">
      <c r="A192" s="67" t="s">
        <v>650</v>
      </c>
      <c r="B192" s="67" t="s">
        <v>606</v>
      </c>
      <c r="C192" s="67" t="s">
        <v>46</v>
      </c>
      <c r="D192" s="67" t="s">
        <v>729</v>
      </c>
      <c r="E192" s="68">
        <f t="shared" si="4"/>
        <v>160</v>
      </c>
      <c r="F192" s="68" t="str">
        <f>IFERROR(INDEX($A$2:$A$226,MATCH(ROWS($E$2:E192),$E$2:$E$226,0)),"")</f>
        <v/>
      </c>
      <c r="G192" s="69">
        <f>IF(ISERROR(SEARCH('80-120'!$A$5,$F192)),0,1)</f>
        <v>0</v>
      </c>
      <c r="H192" s="69" t="str">
        <f>IF($G192=0,"",COUNTIF($G$2:G192,1))</f>
        <v/>
      </c>
      <c r="I192" s="69" t="str">
        <f t="shared" si="5"/>
        <v/>
      </c>
    </row>
    <row r="193" spans="1:9">
      <c r="A193" s="67" t="s">
        <v>616</v>
      </c>
      <c r="B193" s="67" t="s">
        <v>618</v>
      </c>
      <c r="C193" s="67" t="s">
        <v>46</v>
      </c>
      <c r="D193" s="67" t="s">
        <v>720</v>
      </c>
      <c r="E193" s="68">
        <f t="shared" si="4"/>
        <v>164</v>
      </c>
      <c r="F193" s="68" t="str">
        <f>IFERROR(INDEX($A$2:$A$226,MATCH(ROWS($E$2:E193),$E$2:$E$226,0)),"")</f>
        <v/>
      </c>
      <c r="G193" s="69">
        <f>IF(ISERROR(SEARCH('80-120'!$A$5,$F193)),0,1)</f>
        <v>0</v>
      </c>
      <c r="H193" s="69" t="str">
        <f>IF($G193=0,"",COUNTIF($G$2:G193,1))</f>
        <v/>
      </c>
      <c r="I193" s="69" t="str">
        <f t="shared" si="5"/>
        <v/>
      </c>
    </row>
    <row r="194" spans="1:9">
      <c r="A194" s="67" t="s">
        <v>753</v>
      </c>
      <c r="B194" s="67" t="s">
        <v>621</v>
      </c>
      <c r="C194" s="67" t="s">
        <v>46</v>
      </c>
      <c r="D194" s="67" t="s">
        <v>720</v>
      </c>
      <c r="E194" s="68">
        <f t="shared" ref="E194:E257" si="6">COUNTIF($A$2:$A$226,"&lt;="&amp;A194)</f>
        <v>165</v>
      </c>
      <c r="F194" s="68" t="str">
        <f>IFERROR(INDEX($A$2:$A$226,MATCH(ROWS($E$2:E194),$E$2:$E$226,0)),"")</f>
        <v/>
      </c>
      <c r="G194" s="69">
        <f>IF(ISERROR(SEARCH('80-120'!$A$5,$F194)),0,1)</f>
        <v>0</v>
      </c>
      <c r="H194" s="69" t="str">
        <f>IF($G194=0,"",COUNTIF($G$2:G194,1))</f>
        <v/>
      </c>
      <c r="I194" s="69" t="str">
        <f t="shared" ref="I194:I257" si="7">IFERROR(INDEX(F193:F418,MATCH(ROW(H193),H193:H418,0)),"")</f>
        <v/>
      </c>
    </row>
    <row r="195" spans="1:9">
      <c r="A195" s="67" t="s">
        <v>754</v>
      </c>
      <c r="B195" s="67" t="s">
        <v>624</v>
      </c>
      <c r="C195" s="67" t="s">
        <v>46</v>
      </c>
      <c r="D195" s="67" t="s">
        <v>720</v>
      </c>
      <c r="E195" s="68">
        <f t="shared" si="6"/>
        <v>166</v>
      </c>
      <c r="F195" s="68" t="str">
        <f>IFERROR(INDEX($A$2:$A$226,MATCH(ROWS($E$2:E195),$E$2:$E$226,0)),"")</f>
        <v/>
      </c>
      <c r="G195" s="69">
        <f>IF(ISERROR(SEARCH('80-120'!$A$5,$F195)),0,1)</f>
        <v>0</v>
      </c>
      <c r="H195" s="69" t="str">
        <f>IF($G195=0,"",COUNTIF($G$2:G195,1))</f>
        <v/>
      </c>
      <c r="I195" s="69" t="str">
        <f t="shared" si="7"/>
        <v/>
      </c>
    </row>
    <row r="196" spans="1:9">
      <c r="A196" s="67" t="s">
        <v>658</v>
      </c>
      <c r="B196" s="67" t="s">
        <v>633</v>
      </c>
      <c r="C196" s="67" t="s">
        <v>46</v>
      </c>
      <c r="D196" s="67" t="s">
        <v>729</v>
      </c>
      <c r="E196" s="68">
        <f t="shared" si="6"/>
        <v>172</v>
      </c>
      <c r="F196" s="68" t="str">
        <f>IFERROR(INDEX($A$2:$A$226,MATCH(ROWS($E$2:E196),$E$2:$E$226,0)),"")</f>
        <v/>
      </c>
      <c r="G196" s="69">
        <f>IF(ISERROR(SEARCH('80-120'!$A$5,$F196)),0,1)</f>
        <v>0</v>
      </c>
      <c r="H196" s="69" t="str">
        <f>IF($G196=0,"",COUNTIF($G$2:G196,1))</f>
        <v/>
      </c>
      <c r="I196" s="69" t="str">
        <f t="shared" si="7"/>
        <v/>
      </c>
    </row>
    <row r="197" spans="1:9">
      <c r="A197" s="67" t="s">
        <v>755</v>
      </c>
      <c r="B197" s="67" t="s">
        <v>637</v>
      </c>
      <c r="C197" s="67" t="s">
        <v>46</v>
      </c>
      <c r="D197" s="67" t="s">
        <v>729</v>
      </c>
      <c r="E197" s="68">
        <f t="shared" si="6"/>
        <v>173</v>
      </c>
      <c r="F197" s="68" t="str">
        <f>IFERROR(INDEX($A$2:$A$226,MATCH(ROWS($E$2:E197),$E$2:$E$226,0)),"")</f>
        <v/>
      </c>
      <c r="G197" s="69">
        <f>IF(ISERROR(SEARCH('80-120'!$A$5,$F197)),0,1)</f>
        <v>0</v>
      </c>
      <c r="H197" s="69" t="str">
        <f>IF($G197=0,"",COUNTIF($G$2:G197,1))</f>
        <v/>
      </c>
      <c r="I197" s="69" t="str">
        <f t="shared" si="7"/>
        <v/>
      </c>
    </row>
    <row r="198" spans="1:9">
      <c r="A198" s="67" t="s">
        <v>756</v>
      </c>
      <c r="B198" s="67" t="s">
        <v>641</v>
      </c>
      <c r="C198" s="67" t="s">
        <v>46</v>
      </c>
      <c r="D198" s="67" t="s">
        <v>718</v>
      </c>
      <c r="E198" s="68">
        <f t="shared" si="6"/>
        <v>174</v>
      </c>
      <c r="F198" s="68" t="str">
        <f>IFERROR(INDEX($A$2:$A$226,MATCH(ROWS($E$2:E198),$E$2:$E$226,0)),"")</f>
        <v/>
      </c>
      <c r="G198" s="69">
        <f>IF(ISERROR(SEARCH('80-120'!$A$5,$F198)),0,1)</f>
        <v>0</v>
      </c>
      <c r="H198" s="69" t="str">
        <f>IF($G198=0,"",COUNTIF($G$2:G198,1))</f>
        <v/>
      </c>
      <c r="I198" s="69" t="str">
        <f t="shared" si="7"/>
        <v/>
      </c>
    </row>
    <row r="199" spans="1:9">
      <c r="A199" s="67" t="s">
        <v>647</v>
      </c>
      <c r="B199" s="67" t="s">
        <v>649</v>
      </c>
      <c r="C199" s="67" t="s">
        <v>46</v>
      </c>
      <c r="D199" s="67" t="s">
        <v>718</v>
      </c>
      <c r="E199" s="68">
        <f t="shared" si="6"/>
        <v>178</v>
      </c>
      <c r="F199" s="68" t="str">
        <f>IFERROR(INDEX($A$2:$A$226,MATCH(ROWS($E$2:E199),$E$2:$E$226,0)),"")</f>
        <v/>
      </c>
      <c r="G199" s="69">
        <f>IF(ISERROR(SEARCH('80-120'!$A$5,$F199)),0,1)</f>
        <v>0</v>
      </c>
      <c r="H199" s="69" t="str">
        <f>IF($G199=0,"",COUNTIF($G$2:G199,1))</f>
        <v/>
      </c>
      <c r="I199" s="69" t="str">
        <f t="shared" si="7"/>
        <v/>
      </c>
    </row>
    <row r="200" spans="1:9">
      <c r="A200" s="67" t="s">
        <v>651</v>
      </c>
      <c r="B200" s="67" t="s">
        <v>558</v>
      </c>
      <c r="C200" s="67" t="s">
        <v>46</v>
      </c>
      <c r="D200" s="67" t="s">
        <v>729</v>
      </c>
      <c r="E200" s="68">
        <f t="shared" si="6"/>
        <v>179</v>
      </c>
      <c r="F200" s="68" t="str">
        <f>IFERROR(INDEX($A$2:$A$226,MATCH(ROWS($E$2:E200),$E$2:$E$226,0)),"")</f>
        <v/>
      </c>
      <c r="G200" s="69">
        <f>IF(ISERROR(SEARCH('80-120'!$A$5,$F200)),0,1)</f>
        <v>0</v>
      </c>
      <c r="H200" s="69" t="str">
        <f>IF($G200=0,"",COUNTIF($G$2:G200,1))</f>
        <v/>
      </c>
      <c r="I200" s="69" t="str">
        <f t="shared" si="7"/>
        <v/>
      </c>
    </row>
    <row r="201" spans="1:9">
      <c r="A201" s="67" t="s">
        <v>655</v>
      </c>
      <c r="B201" s="67" t="s">
        <v>657</v>
      </c>
      <c r="C201" s="67" t="s">
        <v>46</v>
      </c>
      <c r="D201" s="67" t="s">
        <v>680</v>
      </c>
      <c r="E201" s="68">
        <f t="shared" si="6"/>
        <v>184</v>
      </c>
      <c r="F201" s="68" t="str">
        <f>IFERROR(INDEX($A$2:$A$226,MATCH(ROWS($E$2:E201),$E$2:$E$226,0)),"")</f>
        <v/>
      </c>
      <c r="G201" s="69">
        <f>IF(ISERROR(SEARCH('80-120'!$A$5,$F201)),0,1)</f>
        <v>0</v>
      </c>
      <c r="H201" s="69" t="str">
        <f>IF($G201=0,"",COUNTIF($G$2:G201,1))</f>
        <v/>
      </c>
      <c r="I201" s="69" t="str">
        <f t="shared" si="7"/>
        <v/>
      </c>
    </row>
    <row r="202" spans="1:9">
      <c r="A202" s="67"/>
      <c r="B202" s="67"/>
      <c r="C202" s="67"/>
      <c r="D202" s="67"/>
      <c r="E202" s="68">
        <f t="shared" si="6"/>
        <v>0</v>
      </c>
      <c r="F202" s="68" t="str">
        <f>IFERROR(INDEX($A$2:$A$226,MATCH(ROWS($E$2:E202),$E$2:$E$226,0)),"")</f>
        <v/>
      </c>
      <c r="G202" s="69">
        <f>IF(ISERROR(SEARCH('80-120'!$A$5,$F202)),0,1)</f>
        <v>0</v>
      </c>
      <c r="H202" s="69" t="str">
        <f>IF($G202=0,"",COUNTIF($G$2:G202,1))</f>
        <v/>
      </c>
      <c r="I202" s="69" t="str">
        <f t="shared" si="7"/>
        <v/>
      </c>
    </row>
    <row r="203" spans="1:9">
      <c r="A203" s="67"/>
      <c r="B203" s="67"/>
      <c r="C203" s="67"/>
      <c r="D203" s="67"/>
      <c r="E203" s="68">
        <f t="shared" si="6"/>
        <v>0</v>
      </c>
      <c r="F203" s="68" t="str">
        <f>IFERROR(INDEX($A$2:$A$226,MATCH(ROWS($E$2:E203),$E$2:$E$226,0)),"")</f>
        <v/>
      </c>
      <c r="G203" s="69">
        <f>IF(ISERROR(SEARCH('80-120'!$A$5,$F203)),0,1)</f>
        <v>0</v>
      </c>
      <c r="H203" s="69" t="str">
        <f>IF($G203=0,"",COUNTIF($G$2:G203,1))</f>
        <v/>
      </c>
      <c r="I203" s="69" t="str">
        <f t="shared" si="7"/>
        <v/>
      </c>
    </row>
    <row r="204" spans="1:9">
      <c r="A204" s="67"/>
      <c r="B204" s="67"/>
      <c r="C204" s="67"/>
      <c r="D204" s="67"/>
      <c r="E204" s="68">
        <f t="shared" si="6"/>
        <v>0</v>
      </c>
      <c r="F204" s="68" t="str">
        <f>IFERROR(INDEX($A$2:$A$226,MATCH(ROWS($E$2:E204),$E$2:$E$226,0)),"")</f>
        <v/>
      </c>
      <c r="G204" s="69">
        <f>IF(ISERROR(SEARCH('80-120'!$A$5,$F204)),0,1)</f>
        <v>0</v>
      </c>
      <c r="H204" s="69" t="str">
        <f>IF($G204=0,"",COUNTIF($G$2:G204,1))</f>
        <v/>
      </c>
      <c r="I204" s="69" t="str">
        <f t="shared" si="7"/>
        <v/>
      </c>
    </row>
    <row r="205" spans="1:9">
      <c r="A205" s="67"/>
      <c r="B205" s="67"/>
      <c r="C205" s="67"/>
      <c r="D205" s="67"/>
      <c r="E205" s="68">
        <f t="shared" si="6"/>
        <v>0</v>
      </c>
      <c r="F205" s="68" t="str">
        <f>IFERROR(INDEX($A$2:$A$226,MATCH(ROWS($E$2:E205),$E$2:$E$226,0)),"")</f>
        <v/>
      </c>
      <c r="G205" s="69">
        <f>IF(ISERROR(SEARCH('80-120'!$A$5,$F205)),0,1)</f>
        <v>0</v>
      </c>
      <c r="H205" s="69" t="str">
        <f>IF($G205=0,"",COUNTIF($G$2:G205,1))</f>
        <v/>
      </c>
      <c r="I205" s="69" t="str">
        <f t="shared" si="7"/>
        <v/>
      </c>
    </row>
    <row r="206" spans="1:9">
      <c r="A206" s="67"/>
      <c r="B206" s="67"/>
      <c r="C206" s="67"/>
      <c r="D206" s="67"/>
      <c r="E206" s="68">
        <f t="shared" si="6"/>
        <v>0</v>
      </c>
      <c r="F206" s="68" t="str">
        <f>IFERROR(INDEX($A$2:$A$226,MATCH(ROWS($E$2:E206),$E$2:$E$226,0)),"")</f>
        <v/>
      </c>
      <c r="G206" s="69">
        <f>IF(ISERROR(SEARCH('80-120'!$A$5,$F206)),0,1)</f>
        <v>0</v>
      </c>
      <c r="H206" s="69" t="str">
        <f>IF($G206=0,"",COUNTIF($G$2:G206,1))</f>
        <v/>
      </c>
      <c r="I206" s="69" t="str">
        <f t="shared" si="7"/>
        <v/>
      </c>
    </row>
    <row r="207" spans="1:9">
      <c r="A207" s="67"/>
      <c r="B207" s="67"/>
      <c r="C207" s="67"/>
      <c r="D207" s="67"/>
      <c r="E207" s="68">
        <f t="shared" si="6"/>
        <v>0</v>
      </c>
      <c r="F207" s="68" t="str">
        <f>IFERROR(INDEX($A$2:$A$226,MATCH(ROWS($E$2:E207),$E$2:$E$226,0)),"")</f>
        <v/>
      </c>
      <c r="G207" s="69">
        <f>IF(ISERROR(SEARCH('80-120'!$A$5,$F207)),0,1)</f>
        <v>0</v>
      </c>
      <c r="H207" s="69" t="str">
        <f>IF($G207=0,"",COUNTIF($G$2:G207,1))</f>
        <v/>
      </c>
      <c r="I207" s="69" t="str">
        <f t="shared" si="7"/>
        <v/>
      </c>
    </row>
    <row r="208" spans="1:9">
      <c r="A208" s="67"/>
      <c r="B208" s="67"/>
      <c r="C208" s="67"/>
      <c r="D208" s="67"/>
      <c r="E208" s="68">
        <f t="shared" si="6"/>
        <v>0</v>
      </c>
      <c r="F208" s="68" t="str">
        <f>IFERROR(INDEX($A$2:$A$226,MATCH(ROWS($E$2:E208),$E$2:$E$226,0)),"")</f>
        <v/>
      </c>
      <c r="G208" s="69">
        <f>IF(ISERROR(SEARCH('80-120'!$A$5,$F208)),0,1)</f>
        <v>0</v>
      </c>
      <c r="H208" s="69" t="str">
        <f>IF($G208=0,"",COUNTIF($G$2:G208,1))</f>
        <v/>
      </c>
      <c r="I208" s="69" t="str">
        <f t="shared" si="7"/>
        <v/>
      </c>
    </row>
    <row r="209" spans="1:9">
      <c r="A209" s="67"/>
      <c r="B209" s="67"/>
      <c r="C209" s="67"/>
      <c r="D209" s="67"/>
      <c r="E209" s="68">
        <f t="shared" si="6"/>
        <v>0</v>
      </c>
      <c r="F209" s="68" t="str">
        <f>IFERROR(INDEX($A$2:$A$226,MATCH(ROWS($E$2:E209),$E$2:$E$226,0)),"")</f>
        <v/>
      </c>
      <c r="G209" s="69">
        <f>IF(ISERROR(SEARCH('80-120'!$A$5,$F209)),0,1)</f>
        <v>0</v>
      </c>
      <c r="H209" s="69" t="str">
        <f>IF($G209=0,"",COUNTIF($G$2:G209,1))</f>
        <v/>
      </c>
      <c r="I209" s="69" t="str">
        <f t="shared" si="7"/>
        <v/>
      </c>
    </row>
    <row r="210" spans="1:9">
      <c r="A210" s="67"/>
      <c r="B210" s="67"/>
      <c r="C210" s="67"/>
      <c r="D210" s="67"/>
      <c r="E210" s="68">
        <f t="shared" si="6"/>
        <v>0</v>
      </c>
      <c r="F210" s="68" t="str">
        <f>IFERROR(INDEX($A$2:$A$226,MATCH(ROWS($E$2:E210),$E$2:$E$226,0)),"")</f>
        <v/>
      </c>
      <c r="G210" s="69">
        <f>IF(ISERROR(SEARCH('80-120'!$A$5,$F210)),0,1)</f>
        <v>0</v>
      </c>
      <c r="H210" s="69" t="str">
        <f>IF($G210=0,"",COUNTIF($G$2:G210,1))</f>
        <v/>
      </c>
      <c r="I210" s="69" t="str">
        <f t="shared" si="7"/>
        <v/>
      </c>
    </row>
    <row r="211" spans="1:9">
      <c r="A211" s="67"/>
      <c r="B211" s="67"/>
      <c r="C211" s="67"/>
      <c r="D211" s="67"/>
      <c r="E211" s="68">
        <f t="shared" si="6"/>
        <v>0</v>
      </c>
      <c r="F211" s="68" t="str">
        <f>IFERROR(INDEX($A$2:$A$226,MATCH(ROWS($E$2:E211),$E$2:$E$226,0)),"")</f>
        <v/>
      </c>
      <c r="G211" s="69">
        <f>IF(ISERROR(SEARCH('80-120'!$A$5,$F211)),0,1)</f>
        <v>0</v>
      </c>
      <c r="H211" s="69" t="str">
        <f>IF($G211=0,"",COUNTIF($G$2:G211,1))</f>
        <v/>
      </c>
      <c r="I211" s="69" t="str">
        <f t="shared" si="7"/>
        <v/>
      </c>
    </row>
    <row r="212" spans="1:9">
      <c r="A212" s="67"/>
      <c r="B212" s="67"/>
      <c r="C212" s="67"/>
      <c r="D212" s="67"/>
      <c r="E212" s="68">
        <f t="shared" si="6"/>
        <v>0</v>
      </c>
      <c r="F212" s="68" t="str">
        <f>IFERROR(INDEX($A$2:$A$226,MATCH(ROWS($E$2:E212),$E$2:$E$226,0)),"")</f>
        <v/>
      </c>
      <c r="G212" s="69">
        <f>IF(ISERROR(SEARCH('80-120'!$A$5,$F212)),0,1)</f>
        <v>0</v>
      </c>
      <c r="H212" s="69" t="str">
        <f>IF($G212=0,"",COUNTIF($G$2:G212,1))</f>
        <v/>
      </c>
      <c r="I212" s="69" t="str">
        <f t="shared" si="7"/>
        <v/>
      </c>
    </row>
    <row r="213" spans="1:9">
      <c r="A213" s="67"/>
      <c r="B213" s="67"/>
      <c r="C213" s="67"/>
      <c r="D213" s="67"/>
      <c r="E213" s="68">
        <f t="shared" si="6"/>
        <v>0</v>
      </c>
      <c r="F213" s="68" t="str">
        <f>IFERROR(INDEX($A$2:$A$226,MATCH(ROWS($E$2:E213),$E$2:$E$226,0)),"")</f>
        <v/>
      </c>
      <c r="G213" s="69">
        <f>IF(ISERROR(SEARCH('80-120'!$A$5,$F213)),0,1)</f>
        <v>0</v>
      </c>
      <c r="H213" s="69" t="str">
        <f>IF($G213=0,"",COUNTIF($G$2:G213,1))</f>
        <v/>
      </c>
      <c r="I213" s="69" t="str">
        <f t="shared" si="7"/>
        <v/>
      </c>
    </row>
    <row r="214" spans="1:9">
      <c r="A214" s="67"/>
      <c r="B214" s="67"/>
      <c r="C214" s="67"/>
      <c r="D214" s="67"/>
      <c r="E214" s="68">
        <f t="shared" si="6"/>
        <v>0</v>
      </c>
      <c r="F214" s="68" t="str">
        <f>IFERROR(INDEX($A$2:$A$226,MATCH(ROWS($E$2:E214),$E$2:$E$226,0)),"")</f>
        <v/>
      </c>
      <c r="G214" s="69">
        <f>IF(ISERROR(SEARCH('80-120'!$A$5,$F214)),0,1)</f>
        <v>0</v>
      </c>
      <c r="H214" s="69" t="str">
        <f>IF($G214=0,"",COUNTIF($G$2:G214,1))</f>
        <v/>
      </c>
      <c r="I214" s="69" t="str">
        <f t="shared" si="7"/>
        <v/>
      </c>
    </row>
    <row r="215" spans="1:9">
      <c r="A215" s="67"/>
      <c r="B215" s="67"/>
      <c r="C215" s="67"/>
      <c r="D215" s="67"/>
      <c r="E215" s="68">
        <f t="shared" si="6"/>
        <v>0</v>
      </c>
      <c r="F215" s="68" t="str">
        <f>IFERROR(INDEX($A$2:$A$226,MATCH(ROWS($E$2:E215),$E$2:$E$226,0)),"")</f>
        <v/>
      </c>
      <c r="G215" s="69">
        <f>IF(ISERROR(SEARCH('80-120'!$A$5,$F215)),0,1)</f>
        <v>0</v>
      </c>
      <c r="H215" s="69" t="str">
        <f>IF($G215=0,"",COUNTIF($G$2:G215,1))</f>
        <v/>
      </c>
      <c r="I215" s="69" t="str">
        <f t="shared" si="7"/>
        <v/>
      </c>
    </row>
    <row r="216" spans="1:9">
      <c r="A216" s="67"/>
      <c r="B216" s="67"/>
      <c r="C216" s="67"/>
      <c r="D216" s="67"/>
      <c r="E216" s="68">
        <f t="shared" si="6"/>
        <v>0</v>
      </c>
      <c r="F216" s="68" t="str">
        <f>IFERROR(INDEX($A$2:$A$226,MATCH(ROWS($E$2:E216),$E$2:$E$226,0)),"")</f>
        <v/>
      </c>
      <c r="G216" s="69">
        <f>IF(ISERROR(SEARCH('80-120'!$A$5,$F216)),0,1)</f>
        <v>0</v>
      </c>
      <c r="H216" s="69" t="str">
        <f>IF($G216=0,"",COUNTIF($G$2:G216,1))</f>
        <v/>
      </c>
      <c r="I216" s="69" t="str">
        <f t="shared" si="7"/>
        <v/>
      </c>
    </row>
    <row r="217" spans="1:9">
      <c r="A217" s="67"/>
      <c r="B217" s="67"/>
      <c r="C217" s="67"/>
      <c r="D217" s="67"/>
      <c r="E217" s="68">
        <f t="shared" si="6"/>
        <v>0</v>
      </c>
      <c r="F217" s="68" t="str">
        <f>IFERROR(INDEX($A$2:$A$226,MATCH(ROWS($E$2:E217),$E$2:$E$226,0)),"")</f>
        <v/>
      </c>
      <c r="G217" s="69">
        <f>IF(ISERROR(SEARCH('80-120'!$A$5,$F217)),0,1)</f>
        <v>0</v>
      </c>
      <c r="H217" s="69" t="str">
        <f>IF($G217=0,"",COUNTIF($G$2:G217,1))</f>
        <v/>
      </c>
      <c r="I217" s="69" t="str">
        <f t="shared" si="7"/>
        <v/>
      </c>
    </row>
    <row r="218" spans="1:9">
      <c r="A218" s="67"/>
      <c r="B218" s="67"/>
      <c r="C218" s="67"/>
      <c r="D218" s="67"/>
      <c r="E218" s="68">
        <f t="shared" si="6"/>
        <v>0</v>
      </c>
      <c r="F218" s="68" t="str">
        <f>IFERROR(INDEX($A$2:$A$226,MATCH(ROWS($E$2:E218),$E$2:$E$226,0)),"")</f>
        <v/>
      </c>
      <c r="G218" s="69">
        <f>IF(ISERROR(SEARCH('80-120'!$A$5,$F218)),0,1)</f>
        <v>0</v>
      </c>
      <c r="H218" s="69" t="str">
        <f>IF($G218=0,"",COUNTIF($G$2:G218,1))</f>
        <v/>
      </c>
      <c r="I218" s="69" t="str">
        <f t="shared" si="7"/>
        <v/>
      </c>
    </row>
    <row r="219" spans="1:9">
      <c r="A219" s="67"/>
      <c r="B219" s="67"/>
      <c r="C219" s="67"/>
      <c r="D219" s="67"/>
      <c r="E219" s="68">
        <f t="shared" si="6"/>
        <v>0</v>
      </c>
      <c r="F219" s="68" t="str">
        <f>IFERROR(INDEX($A$2:$A$226,MATCH(ROWS($E$2:E219),$E$2:$E$226,0)),"")</f>
        <v/>
      </c>
      <c r="G219" s="69">
        <f>IF(ISERROR(SEARCH('80-120'!$A$5,$F219)),0,1)</f>
        <v>0</v>
      </c>
      <c r="H219" s="69" t="str">
        <f>IF($G219=0,"",COUNTIF($G$2:G219,1))</f>
        <v/>
      </c>
      <c r="I219" s="69" t="str">
        <f t="shared" si="7"/>
        <v/>
      </c>
    </row>
    <row r="220" spans="1:9">
      <c r="A220" s="67"/>
      <c r="B220" s="67"/>
      <c r="C220" s="67"/>
      <c r="D220" s="67"/>
      <c r="E220" s="68">
        <f t="shared" si="6"/>
        <v>0</v>
      </c>
      <c r="F220" s="68" t="str">
        <f>IFERROR(INDEX($A$2:$A$226,MATCH(ROWS($E$2:E220),$E$2:$E$226,0)),"")</f>
        <v/>
      </c>
      <c r="G220" s="69">
        <f>IF(ISERROR(SEARCH('80-120'!$A$5,$F220)),0,1)</f>
        <v>0</v>
      </c>
      <c r="H220" s="69" t="str">
        <f>IF($G220=0,"",COUNTIF($G$2:G220,1))</f>
        <v/>
      </c>
      <c r="I220" s="69" t="str">
        <f t="shared" si="7"/>
        <v/>
      </c>
    </row>
    <row r="221" spans="1:9">
      <c r="A221" s="67"/>
      <c r="B221" s="67"/>
      <c r="C221" s="67"/>
      <c r="D221" s="67"/>
      <c r="E221" s="68">
        <f t="shared" si="6"/>
        <v>0</v>
      </c>
      <c r="F221" s="68" t="str">
        <f>IFERROR(INDEX($A$2:$A$226,MATCH(ROWS($E$2:E221),$E$2:$E$226,0)),"")</f>
        <v/>
      </c>
      <c r="G221" s="69">
        <f>IF(ISERROR(SEARCH('80-120'!$A$5,$F221)),0,1)</f>
        <v>0</v>
      </c>
      <c r="H221" s="69" t="str">
        <f>IF($G221=0,"",COUNTIF($G$2:G221,1))</f>
        <v/>
      </c>
      <c r="I221" s="69" t="str">
        <f t="shared" si="7"/>
        <v/>
      </c>
    </row>
    <row r="222" spans="1:9">
      <c r="A222" s="67"/>
      <c r="B222" s="67"/>
      <c r="C222" s="67"/>
      <c r="D222" s="67"/>
      <c r="E222" s="68">
        <f t="shared" si="6"/>
        <v>0</v>
      </c>
      <c r="F222" s="68" t="str">
        <f>IFERROR(INDEX($A$2:$A$226,MATCH(ROWS($E$2:E222),$E$2:$E$226,0)),"")</f>
        <v/>
      </c>
      <c r="G222" s="69">
        <f>IF(ISERROR(SEARCH('80-120'!$A$5,$F222)),0,1)</f>
        <v>0</v>
      </c>
      <c r="H222" s="69" t="str">
        <f>IF($G222=0,"",COUNTIF($G$2:G222,1))</f>
        <v/>
      </c>
      <c r="I222" s="69" t="str">
        <f t="shared" si="7"/>
        <v/>
      </c>
    </row>
    <row r="223" spans="1:9">
      <c r="A223" s="67"/>
      <c r="B223" s="67"/>
      <c r="C223" s="67"/>
      <c r="D223" s="67"/>
      <c r="E223" s="68">
        <f t="shared" si="6"/>
        <v>0</v>
      </c>
      <c r="F223" s="68" t="str">
        <f>IFERROR(INDEX($A$2:$A$226,MATCH(ROWS($E$2:E223),$E$2:$E$226,0)),"")</f>
        <v/>
      </c>
      <c r="G223" s="69">
        <f>IF(ISERROR(SEARCH('80-120'!$A$5,$F223)),0,1)</f>
        <v>0</v>
      </c>
      <c r="H223" s="69" t="str">
        <f>IF($G223=0,"",COUNTIF($G$2:G223,1))</f>
        <v/>
      </c>
      <c r="I223" s="69" t="str">
        <f t="shared" si="7"/>
        <v/>
      </c>
    </row>
    <row r="224" spans="1:9">
      <c r="A224" s="67"/>
      <c r="B224" s="67"/>
      <c r="C224" s="67"/>
      <c r="D224" s="67"/>
      <c r="E224" s="68">
        <f t="shared" si="6"/>
        <v>0</v>
      </c>
      <c r="F224" s="68" t="str">
        <f>IFERROR(INDEX($A$2:$A$226,MATCH(ROWS($E$2:E224),$E$2:$E$226,0)),"")</f>
        <v/>
      </c>
      <c r="G224" s="69">
        <f>IF(ISERROR(SEARCH('80-120'!$A$5,$F224)),0,1)</f>
        <v>0</v>
      </c>
      <c r="H224" s="69" t="str">
        <f>IF($G224=0,"",COUNTIF($G$2:G224,1))</f>
        <v/>
      </c>
      <c r="I224" s="69" t="str">
        <f t="shared" si="7"/>
        <v/>
      </c>
    </row>
    <row r="225" spans="1:9">
      <c r="A225" s="67"/>
      <c r="B225" s="67"/>
      <c r="C225" s="67"/>
      <c r="D225" s="67"/>
      <c r="E225" s="68">
        <f t="shared" si="6"/>
        <v>0</v>
      </c>
      <c r="F225" s="68" t="str">
        <f>IFERROR(INDEX($A$2:$A$226,MATCH(ROWS($E$2:E225),$E$2:$E$226,0)),"")</f>
        <v/>
      </c>
      <c r="G225" s="69">
        <f>IF(ISERROR(SEARCH('80-120'!$A$5,$F225)),0,1)</f>
        <v>0</v>
      </c>
      <c r="H225" s="69" t="str">
        <f>IF($G225=0,"",COUNTIF($G$2:G225,1))</f>
        <v/>
      </c>
      <c r="I225" s="69" t="str">
        <f t="shared" si="7"/>
        <v/>
      </c>
    </row>
    <row r="226" spans="1:9">
      <c r="A226" s="67"/>
      <c r="B226" s="67"/>
      <c r="C226" s="67"/>
      <c r="D226" s="67"/>
      <c r="E226" s="68">
        <f t="shared" si="6"/>
        <v>0</v>
      </c>
      <c r="F226" s="68" t="str">
        <f>IFERROR(INDEX($A$2:$A$226,MATCH(ROWS($E$2:E226),$E$2:$E$226,0)),"")</f>
        <v/>
      </c>
      <c r="G226" s="69">
        <f>IF(ISERROR(SEARCH('80-120'!$A$5,$F226)),0,1)</f>
        <v>0</v>
      </c>
      <c r="H226" s="69" t="str">
        <f>IF($G226=0,"",COUNTIF($G$2:G226,1))</f>
        <v/>
      </c>
      <c r="I226" s="69" t="str">
        <f t="shared" si="7"/>
        <v/>
      </c>
    </row>
    <row r="227" spans="1:9">
      <c r="A227" s="67"/>
      <c r="B227" s="67"/>
      <c r="C227" s="67"/>
      <c r="D227" s="67"/>
      <c r="E227" s="68">
        <f t="shared" si="6"/>
        <v>0</v>
      </c>
      <c r="F227" s="68" t="str">
        <f>IFERROR(INDEX($A$2:$A$226,MATCH(ROWS($E$2:E227),$E$2:$E$226,0)),"")</f>
        <v/>
      </c>
      <c r="G227" s="69">
        <f>IF(ISERROR(SEARCH('80-120'!$A$5,$F227)),0,1)</f>
        <v>0</v>
      </c>
      <c r="H227" s="69" t="str">
        <f>IF($G227=0,"",COUNTIF($G$2:G227,1))</f>
        <v/>
      </c>
      <c r="I227" s="69" t="str">
        <f t="shared" si="7"/>
        <v/>
      </c>
    </row>
    <row r="228" spans="1:9">
      <c r="A228" s="67"/>
      <c r="B228" s="67"/>
      <c r="C228" s="67"/>
      <c r="D228" s="67"/>
      <c r="E228" s="68">
        <f t="shared" si="6"/>
        <v>0</v>
      </c>
      <c r="F228" s="68" t="str">
        <f>IFERROR(INDEX($A$2:$A$226,MATCH(ROWS($E$2:E228),$E$2:$E$226,0)),"")</f>
        <v/>
      </c>
      <c r="G228" s="69">
        <f>IF(ISERROR(SEARCH('80-120'!$A$5,$F228)),0,1)</f>
        <v>0</v>
      </c>
      <c r="H228" s="69" t="str">
        <f>IF($G228=0,"",COUNTIF($G$2:G228,1))</f>
        <v/>
      </c>
      <c r="I228" s="69" t="str">
        <f t="shared" si="7"/>
        <v/>
      </c>
    </row>
    <row r="229" spans="1:9">
      <c r="A229" s="67"/>
      <c r="B229" s="67"/>
      <c r="C229" s="67"/>
      <c r="D229" s="67"/>
      <c r="E229" s="68">
        <f t="shared" si="6"/>
        <v>0</v>
      </c>
      <c r="F229" s="68" t="str">
        <f>IFERROR(INDEX($A$2:$A$226,MATCH(ROWS($E$2:E229),$E$2:$E$226,0)),"")</f>
        <v/>
      </c>
      <c r="G229" s="69">
        <f>IF(ISERROR(SEARCH('80-120'!$A$5,$F229)),0,1)</f>
        <v>0</v>
      </c>
      <c r="H229" s="69" t="str">
        <f>IF($G229=0,"",COUNTIF($G$2:G229,1))</f>
        <v/>
      </c>
      <c r="I229" s="69" t="str">
        <f t="shared" si="7"/>
        <v/>
      </c>
    </row>
    <row r="230" spans="1:9">
      <c r="A230" s="67"/>
      <c r="B230" s="67"/>
      <c r="C230" s="67"/>
      <c r="D230" s="67"/>
      <c r="E230" s="68">
        <f t="shared" si="6"/>
        <v>0</v>
      </c>
      <c r="F230" s="68" t="str">
        <f>IFERROR(INDEX($A$2:$A$226,MATCH(ROWS($E$2:E230),$E$2:$E$226,0)),"")</f>
        <v/>
      </c>
      <c r="G230" s="69">
        <f>IF(ISERROR(SEARCH('80-120'!$A$5,$F230)),0,1)</f>
        <v>0</v>
      </c>
      <c r="H230" s="69" t="str">
        <f>IF($G230=0,"",COUNTIF($G$2:G230,1))</f>
        <v/>
      </c>
      <c r="I230" s="69" t="str">
        <f t="shared" si="7"/>
        <v/>
      </c>
    </row>
    <row r="231" spans="1:9">
      <c r="A231" s="67"/>
      <c r="B231" s="67"/>
      <c r="C231" s="67"/>
      <c r="D231" s="67"/>
      <c r="E231" s="68">
        <f t="shared" si="6"/>
        <v>0</v>
      </c>
      <c r="F231" s="68" t="str">
        <f>IFERROR(INDEX($A$2:$A$226,MATCH(ROWS($E$2:E231),$E$2:$E$226,0)),"")</f>
        <v/>
      </c>
      <c r="G231" s="69">
        <f>IF(ISERROR(SEARCH('80-120'!$A$5,$F231)),0,1)</f>
        <v>0</v>
      </c>
      <c r="H231" s="69" t="str">
        <f>IF($G231=0,"",COUNTIF($G$2:G231,1))</f>
        <v/>
      </c>
      <c r="I231" s="69" t="str">
        <f t="shared" si="7"/>
        <v/>
      </c>
    </row>
    <row r="232" spans="1:9">
      <c r="A232" s="67"/>
      <c r="B232" s="67"/>
      <c r="C232" s="67"/>
      <c r="D232" s="67"/>
      <c r="E232" s="68">
        <f t="shared" si="6"/>
        <v>0</v>
      </c>
      <c r="F232" s="68" t="str">
        <f>IFERROR(INDEX($A$2:$A$226,MATCH(ROWS($E$2:E232),$E$2:$E$226,0)),"")</f>
        <v/>
      </c>
      <c r="G232" s="69">
        <f>IF(ISERROR(SEARCH('80-120'!$A$5,$F232)),0,1)</f>
        <v>0</v>
      </c>
      <c r="H232" s="69" t="str">
        <f>IF($G232=0,"",COUNTIF($G$2:G232,1))</f>
        <v/>
      </c>
      <c r="I232" s="69" t="str">
        <f t="shared" si="7"/>
        <v/>
      </c>
    </row>
    <row r="233" spans="1:9">
      <c r="A233" s="67"/>
      <c r="B233" s="67"/>
      <c r="C233" s="67"/>
      <c r="D233" s="67"/>
      <c r="E233" s="68">
        <f t="shared" si="6"/>
        <v>0</v>
      </c>
      <c r="F233" s="68" t="str">
        <f>IFERROR(INDEX($A$2:$A$226,MATCH(ROWS($E$2:E233),$E$2:$E$226,0)),"")</f>
        <v/>
      </c>
      <c r="G233" s="69">
        <f>IF(ISERROR(SEARCH('80-120'!$A$5,$F233)),0,1)</f>
        <v>0</v>
      </c>
      <c r="H233" s="69" t="str">
        <f>IF($G233=0,"",COUNTIF($G$2:G233,1))</f>
        <v/>
      </c>
      <c r="I233" s="69" t="str">
        <f t="shared" si="7"/>
        <v/>
      </c>
    </row>
    <row r="234" spans="1:9">
      <c r="A234" s="67"/>
      <c r="B234" s="67"/>
      <c r="C234" s="67"/>
      <c r="D234" s="67"/>
      <c r="E234" s="68">
        <f t="shared" si="6"/>
        <v>0</v>
      </c>
      <c r="F234" s="68" t="str">
        <f>IFERROR(INDEX($A$2:$A$226,MATCH(ROWS($E$2:E234),$E$2:$E$226,0)),"")</f>
        <v/>
      </c>
      <c r="G234" s="69">
        <f>IF(ISERROR(SEARCH('80-120'!$A$5,$F234)),0,1)</f>
        <v>0</v>
      </c>
      <c r="H234" s="69" t="str">
        <f>IF($G234=0,"",COUNTIF($G$2:G234,1))</f>
        <v/>
      </c>
      <c r="I234" s="69" t="str">
        <f t="shared" si="7"/>
        <v/>
      </c>
    </row>
    <row r="235" spans="1:9">
      <c r="A235" s="67"/>
      <c r="B235" s="67"/>
      <c r="C235" s="67"/>
      <c r="D235" s="67"/>
      <c r="E235" s="68">
        <f t="shared" si="6"/>
        <v>0</v>
      </c>
      <c r="F235" s="68" t="str">
        <f>IFERROR(INDEX($A$2:$A$226,MATCH(ROWS($E$2:E235),$E$2:$E$226,0)),"")</f>
        <v/>
      </c>
      <c r="G235" s="69">
        <f>IF(ISERROR(SEARCH('80-120'!$A$5,$F235)),0,1)</f>
        <v>0</v>
      </c>
      <c r="H235" s="69" t="str">
        <f>IF($G235=0,"",COUNTIF($G$2:G235,1))</f>
        <v/>
      </c>
      <c r="I235" s="69" t="str">
        <f t="shared" si="7"/>
        <v/>
      </c>
    </row>
    <row r="236" spans="1:9">
      <c r="A236" s="67"/>
      <c r="B236" s="67"/>
      <c r="C236" s="67"/>
      <c r="D236" s="67"/>
      <c r="E236" s="68">
        <f t="shared" si="6"/>
        <v>0</v>
      </c>
      <c r="F236" s="68" t="str">
        <f>IFERROR(INDEX($A$2:$A$226,MATCH(ROWS($E$2:E236),$E$2:$E$226,0)),"")</f>
        <v/>
      </c>
      <c r="G236" s="69">
        <f>IF(ISERROR(SEARCH('80-120'!$A$5,$F236)),0,1)</f>
        <v>0</v>
      </c>
      <c r="H236" s="69" t="str">
        <f>IF($G236=0,"",COUNTIF($G$2:G236,1))</f>
        <v/>
      </c>
      <c r="I236" s="69" t="str">
        <f t="shared" si="7"/>
        <v/>
      </c>
    </row>
    <row r="237" spans="1:9">
      <c r="A237" s="67"/>
      <c r="B237" s="67"/>
      <c r="C237" s="67"/>
      <c r="D237" s="67"/>
      <c r="E237" s="68">
        <f t="shared" si="6"/>
        <v>0</v>
      </c>
      <c r="F237" s="68" t="str">
        <f>IFERROR(INDEX($A$2:$A$226,MATCH(ROWS($E$2:E237),$E$2:$E$226,0)),"")</f>
        <v/>
      </c>
      <c r="G237" s="69">
        <f>IF(ISERROR(SEARCH('80-120'!$A$5,$F237)),0,1)</f>
        <v>0</v>
      </c>
      <c r="H237" s="69" t="str">
        <f>IF($G237=0,"",COUNTIF($G$2:G237,1))</f>
        <v/>
      </c>
      <c r="I237" s="69" t="str">
        <f t="shared" si="7"/>
        <v/>
      </c>
    </row>
    <row r="238" spans="1:9">
      <c r="A238" s="67"/>
      <c r="B238" s="67"/>
      <c r="C238" s="67"/>
      <c r="D238" s="67"/>
      <c r="E238" s="68">
        <f t="shared" si="6"/>
        <v>0</v>
      </c>
      <c r="F238" s="68" t="str">
        <f>IFERROR(INDEX($A$2:$A$226,MATCH(ROWS($E$2:E238),$E$2:$E$226,0)),"")</f>
        <v/>
      </c>
      <c r="G238" s="69">
        <f>IF(ISERROR(SEARCH('80-120'!$A$5,$F238)),0,1)</f>
        <v>0</v>
      </c>
      <c r="H238" s="69" t="str">
        <f>IF($G238=0,"",COUNTIF($G$2:G238,1))</f>
        <v/>
      </c>
      <c r="I238" s="69" t="str">
        <f t="shared" si="7"/>
        <v/>
      </c>
    </row>
    <row r="239" spans="1:9">
      <c r="A239" s="67"/>
      <c r="B239" s="67"/>
      <c r="C239" s="67"/>
      <c r="D239" s="67"/>
      <c r="E239" s="68">
        <f t="shared" si="6"/>
        <v>0</v>
      </c>
      <c r="F239" s="68" t="str">
        <f>IFERROR(INDEX($A$2:$A$226,MATCH(ROWS($E$2:E239),$E$2:$E$226,0)),"")</f>
        <v/>
      </c>
      <c r="G239" s="69">
        <f>IF(ISERROR(SEARCH('80-120'!$A$5,$F239)),0,1)</f>
        <v>0</v>
      </c>
      <c r="H239" s="69" t="str">
        <f>IF($G239=0,"",COUNTIF($G$2:G239,1))</f>
        <v/>
      </c>
      <c r="I239" s="69" t="str">
        <f t="shared" si="7"/>
        <v/>
      </c>
    </row>
    <row r="240" spans="1:9">
      <c r="A240" s="67"/>
      <c r="B240" s="67"/>
      <c r="C240" s="67"/>
      <c r="D240" s="67"/>
      <c r="E240" s="68">
        <f t="shared" si="6"/>
        <v>0</v>
      </c>
      <c r="F240" s="68" t="str">
        <f>IFERROR(INDEX($A$2:$A$226,MATCH(ROWS($E$2:E240),$E$2:$E$226,0)),"")</f>
        <v/>
      </c>
      <c r="G240" s="69">
        <f>IF(ISERROR(SEARCH('80-120'!$A$5,$F240)),0,1)</f>
        <v>0</v>
      </c>
      <c r="H240" s="69" t="str">
        <f>IF($G240=0,"",COUNTIF($G$2:G240,1))</f>
        <v/>
      </c>
      <c r="I240" s="69" t="str">
        <f t="shared" si="7"/>
        <v/>
      </c>
    </row>
    <row r="241" spans="1:9">
      <c r="A241" s="67"/>
      <c r="B241" s="67"/>
      <c r="C241" s="67"/>
      <c r="D241" s="67"/>
      <c r="E241" s="68">
        <f t="shared" si="6"/>
        <v>0</v>
      </c>
      <c r="F241" s="68" t="str">
        <f>IFERROR(INDEX($A$2:$A$226,MATCH(ROWS($E$2:E241),$E$2:$E$226,0)),"")</f>
        <v/>
      </c>
      <c r="G241" s="69">
        <f>IF(ISERROR(SEARCH('80-120'!$A$5,$F241)),0,1)</f>
        <v>0</v>
      </c>
      <c r="H241" s="69" t="str">
        <f>IF($G241=0,"",COUNTIF($G$2:G241,1))</f>
        <v/>
      </c>
      <c r="I241" s="69" t="str">
        <f t="shared" si="7"/>
        <v/>
      </c>
    </row>
    <row r="242" spans="1:9">
      <c r="A242" s="67"/>
      <c r="B242" s="67"/>
      <c r="C242" s="67"/>
      <c r="D242" s="67"/>
      <c r="E242" s="68">
        <f t="shared" si="6"/>
        <v>0</v>
      </c>
      <c r="F242" s="68" t="str">
        <f>IFERROR(INDEX($A$2:$A$226,MATCH(ROWS($E$2:E242),$E$2:$E$226,0)),"")</f>
        <v/>
      </c>
      <c r="G242" s="69">
        <f>IF(ISERROR(SEARCH('80-120'!$A$5,$F242)),0,1)</f>
        <v>0</v>
      </c>
      <c r="H242" s="69" t="str">
        <f>IF($G242=0,"",COUNTIF($G$2:G242,1))</f>
        <v/>
      </c>
      <c r="I242" s="69" t="str">
        <f t="shared" si="7"/>
        <v/>
      </c>
    </row>
    <row r="243" spans="1:9">
      <c r="A243" s="67"/>
      <c r="B243" s="67"/>
      <c r="C243" s="67"/>
      <c r="D243" s="67"/>
      <c r="E243" s="68">
        <f t="shared" si="6"/>
        <v>0</v>
      </c>
      <c r="F243" s="68" t="str">
        <f>IFERROR(INDEX($A$2:$A$226,MATCH(ROWS($E$2:E243),$E$2:$E$226,0)),"")</f>
        <v/>
      </c>
      <c r="G243" s="69">
        <f>IF(ISERROR(SEARCH('80-120'!$A$5,$F243)),0,1)</f>
        <v>0</v>
      </c>
      <c r="H243" s="69" t="str">
        <f>IF($G243=0,"",COUNTIF($G$2:G243,1))</f>
        <v/>
      </c>
      <c r="I243" s="69" t="str">
        <f t="shared" si="7"/>
        <v/>
      </c>
    </row>
    <row r="244" spans="1:9">
      <c r="A244" s="67"/>
      <c r="B244" s="67"/>
      <c r="C244" s="67"/>
      <c r="D244" s="67"/>
      <c r="E244" s="68">
        <f t="shared" si="6"/>
        <v>0</v>
      </c>
      <c r="F244" s="68" t="str">
        <f>IFERROR(INDEX($A$2:$A$226,MATCH(ROWS($E$2:E244),$E$2:$E$226,0)),"")</f>
        <v/>
      </c>
      <c r="G244" s="69">
        <f>IF(ISERROR(SEARCH('80-120'!$A$5,$F244)),0,1)</f>
        <v>0</v>
      </c>
      <c r="H244" s="69" t="str">
        <f>IF($G244=0,"",COUNTIF($G$2:G244,1))</f>
        <v/>
      </c>
      <c r="I244" s="69" t="str">
        <f t="shared" si="7"/>
        <v/>
      </c>
    </row>
    <row r="245" spans="1:9">
      <c r="A245" s="67"/>
      <c r="B245" s="67"/>
      <c r="C245" s="67"/>
      <c r="D245" s="67"/>
      <c r="E245" s="68">
        <f t="shared" si="6"/>
        <v>0</v>
      </c>
      <c r="F245" s="68" t="str">
        <f>IFERROR(INDEX($A$2:$A$226,MATCH(ROWS($E$2:E245),$E$2:$E$226,0)),"")</f>
        <v/>
      </c>
      <c r="G245" s="69">
        <f>IF(ISERROR(SEARCH('80-120'!$A$5,$F245)),0,1)</f>
        <v>0</v>
      </c>
      <c r="H245" s="69" t="str">
        <f>IF($G245=0,"",COUNTIF($G$2:G245,1))</f>
        <v/>
      </c>
      <c r="I245" s="69" t="str">
        <f t="shared" si="7"/>
        <v/>
      </c>
    </row>
    <row r="246" spans="1:9">
      <c r="A246" s="67"/>
      <c r="B246" s="67"/>
      <c r="C246" s="67"/>
      <c r="D246" s="67"/>
      <c r="E246" s="68">
        <f t="shared" si="6"/>
        <v>0</v>
      </c>
      <c r="F246" s="68" t="str">
        <f>IFERROR(INDEX($A$2:$A$226,MATCH(ROWS($E$2:E246),$E$2:$E$226,0)),"")</f>
        <v/>
      </c>
      <c r="G246" s="69">
        <f>IF(ISERROR(SEARCH('80-120'!$A$5,$F246)),0,1)</f>
        <v>0</v>
      </c>
      <c r="H246" s="69" t="str">
        <f>IF($G246=0,"",COUNTIF($G$2:G246,1))</f>
        <v/>
      </c>
      <c r="I246" s="69" t="str">
        <f t="shared" si="7"/>
        <v/>
      </c>
    </row>
    <row r="247" spans="1:9">
      <c r="A247" s="67"/>
      <c r="B247" s="67"/>
      <c r="C247" s="67"/>
      <c r="D247" s="67"/>
      <c r="E247" s="68">
        <f t="shared" si="6"/>
        <v>0</v>
      </c>
      <c r="F247" s="68" t="str">
        <f>IFERROR(INDEX($A$2:$A$226,MATCH(ROWS($E$2:E247),$E$2:$E$226,0)),"")</f>
        <v/>
      </c>
      <c r="G247" s="69">
        <f>IF(ISERROR(SEARCH('80-120'!$A$5,$F247)),0,1)</f>
        <v>0</v>
      </c>
      <c r="H247" s="69" t="str">
        <f>IF($G247=0,"",COUNTIF($G$2:G247,1))</f>
        <v/>
      </c>
      <c r="I247" s="69" t="str">
        <f t="shared" si="7"/>
        <v/>
      </c>
    </row>
    <row r="248" spans="1:9">
      <c r="A248" s="67"/>
      <c r="B248" s="67"/>
      <c r="C248" s="67"/>
      <c r="D248" s="67"/>
      <c r="E248" s="68">
        <f t="shared" si="6"/>
        <v>0</v>
      </c>
      <c r="F248" s="68" t="str">
        <f>IFERROR(INDEX($A$2:$A$226,MATCH(ROWS($E$2:E248),$E$2:$E$226,0)),"")</f>
        <v/>
      </c>
      <c r="G248" s="69">
        <f>IF(ISERROR(SEARCH('80-120'!$A$5,$F248)),0,1)</f>
        <v>0</v>
      </c>
      <c r="H248" s="69" t="str">
        <f>IF($G248=0,"",COUNTIF($G$2:G248,1))</f>
        <v/>
      </c>
      <c r="I248" s="69" t="str">
        <f t="shared" si="7"/>
        <v/>
      </c>
    </row>
    <row r="249" spans="1:9">
      <c r="A249" s="67"/>
      <c r="B249" s="67"/>
      <c r="C249" s="67"/>
      <c r="D249" s="67"/>
      <c r="E249" s="68">
        <f t="shared" si="6"/>
        <v>0</v>
      </c>
      <c r="F249" s="68" t="str">
        <f>IFERROR(INDEX($A$2:$A$226,MATCH(ROWS($E$2:E249),$E$2:$E$226,0)),"")</f>
        <v/>
      </c>
      <c r="G249" s="69">
        <f>IF(ISERROR(SEARCH('80-120'!$A$5,$F249)),0,1)</f>
        <v>0</v>
      </c>
      <c r="H249" s="69" t="str">
        <f>IF($G249=0,"",COUNTIF($G$2:G249,1))</f>
        <v/>
      </c>
      <c r="I249" s="69" t="str">
        <f t="shared" si="7"/>
        <v/>
      </c>
    </row>
    <row r="250" spans="1:9">
      <c r="A250" s="67"/>
      <c r="B250" s="67"/>
      <c r="C250" s="67"/>
      <c r="D250" s="67"/>
      <c r="E250" s="68">
        <f t="shared" si="6"/>
        <v>0</v>
      </c>
      <c r="F250" s="68" t="str">
        <f>IFERROR(INDEX($A$2:$A$226,MATCH(ROWS($E$2:E250),$E$2:$E$226,0)),"")</f>
        <v/>
      </c>
      <c r="G250" s="69">
        <f>IF(ISERROR(SEARCH('80-120'!$A$5,$F250)),0,1)</f>
        <v>0</v>
      </c>
      <c r="H250" s="69" t="str">
        <f>IF($G250=0,"",COUNTIF($G$2:G250,1))</f>
        <v/>
      </c>
      <c r="I250" s="69" t="str">
        <f t="shared" si="7"/>
        <v/>
      </c>
    </row>
    <row r="251" spans="1:9">
      <c r="A251" s="67"/>
      <c r="B251" s="67"/>
      <c r="C251" s="67"/>
      <c r="D251" s="67"/>
      <c r="E251" s="68">
        <f t="shared" si="6"/>
        <v>0</v>
      </c>
      <c r="F251" s="68" t="str">
        <f>IFERROR(INDEX($A$2:$A$226,MATCH(ROWS($E$2:E251),$E$2:$E$226,0)),"")</f>
        <v/>
      </c>
      <c r="G251" s="69">
        <f>IF(ISERROR(SEARCH('80-120'!$A$5,$F251)),0,1)</f>
        <v>0</v>
      </c>
      <c r="H251" s="69" t="str">
        <f>IF($G251=0,"",COUNTIF($G$2:G251,1))</f>
        <v/>
      </c>
      <c r="I251" s="69" t="str">
        <f t="shared" si="7"/>
        <v/>
      </c>
    </row>
    <row r="252" spans="1:9">
      <c r="A252" s="67"/>
      <c r="B252" s="67"/>
      <c r="C252" s="67"/>
      <c r="D252" s="67"/>
      <c r="E252" s="68">
        <f t="shared" si="6"/>
        <v>0</v>
      </c>
      <c r="F252" s="68" t="str">
        <f>IFERROR(INDEX($A$2:$A$226,MATCH(ROWS($E$2:E252),$E$2:$E$226,0)),"")</f>
        <v/>
      </c>
      <c r="G252" s="69">
        <f>IF(ISERROR(SEARCH('80-120'!$A$5,$F252)),0,1)</f>
        <v>0</v>
      </c>
      <c r="H252" s="69" t="str">
        <f>IF($G252=0,"",COUNTIF($G$2:G252,1))</f>
        <v/>
      </c>
      <c r="I252" s="69" t="str">
        <f t="shared" si="7"/>
        <v/>
      </c>
    </row>
    <row r="253" spans="1:9">
      <c r="A253" s="67"/>
      <c r="B253" s="67"/>
      <c r="C253" s="67"/>
      <c r="D253" s="67"/>
      <c r="E253" s="68">
        <f t="shared" si="6"/>
        <v>0</v>
      </c>
      <c r="F253" s="68" t="str">
        <f>IFERROR(INDEX($A$2:$A$226,MATCH(ROWS($E$2:E253),$E$2:$E$226,0)),"")</f>
        <v/>
      </c>
      <c r="G253" s="69">
        <f>IF(ISERROR(SEARCH('80-120'!$A$5,$F253)),0,1)</f>
        <v>0</v>
      </c>
      <c r="H253" s="69" t="str">
        <f>IF($G253=0,"",COUNTIF($G$2:G253,1))</f>
        <v/>
      </c>
      <c r="I253" s="69" t="str">
        <f t="shared" si="7"/>
        <v/>
      </c>
    </row>
    <row r="254" spans="1:9">
      <c r="A254" s="67"/>
      <c r="B254" s="67"/>
      <c r="C254" s="67"/>
      <c r="D254" s="67"/>
      <c r="E254" s="68">
        <f t="shared" si="6"/>
        <v>0</v>
      </c>
      <c r="F254" s="68" t="str">
        <f>IFERROR(INDEX($A$2:$A$226,MATCH(ROWS($E$2:E254),$E$2:$E$226,0)),"")</f>
        <v/>
      </c>
      <c r="G254" s="69">
        <f>IF(ISERROR(SEARCH('80-120'!$A$5,$F254)),0,1)</f>
        <v>0</v>
      </c>
      <c r="H254" s="69" t="str">
        <f>IF($G254=0,"",COUNTIF($G$2:G254,1))</f>
        <v/>
      </c>
      <c r="I254" s="69" t="str">
        <f t="shared" si="7"/>
        <v/>
      </c>
    </row>
    <row r="255" spans="1:9">
      <c r="A255" s="67"/>
      <c r="B255" s="67"/>
      <c r="C255" s="67"/>
      <c r="D255" s="67"/>
      <c r="E255" s="68">
        <f t="shared" si="6"/>
        <v>0</v>
      </c>
      <c r="F255" s="68" t="str">
        <f>IFERROR(INDEX($A$2:$A$226,MATCH(ROWS($E$2:E255),$E$2:$E$226,0)),"")</f>
        <v/>
      </c>
      <c r="G255" s="69">
        <f>IF(ISERROR(SEARCH('80-120'!$A$5,$F255)),0,1)</f>
        <v>0</v>
      </c>
      <c r="H255" s="69" t="str">
        <f>IF($G255=0,"",COUNTIF($G$2:G255,1))</f>
        <v/>
      </c>
      <c r="I255" s="69" t="str">
        <f t="shared" si="7"/>
        <v/>
      </c>
    </row>
    <row r="256" spans="1:9">
      <c r="A256" s="67"/>
      <c r="B256" s="67"/>
      <c r="C256" s="67"/>
      <c r="D256" s="67"/>
      <c r="E256" s="68">
        <f t="shared" si="6"/>
        <v>0</v>
      </c>
      <c r="F256" s="68" t="str">
        <f>IFERROR(INDEX($A$2:$A$226,MATCH(ROWS($E$2:E256),$E$2:$E$226,0)),"")</f>
        <v/>
      </c>
      <c r="G256" s="69">
        <f>IF(ISERROR(SEARCH('80-120'!$A$5,$F256)),0,1)</f>
        <v>0</v>
      </c>
      <c r="H256" s="69" t="str">
        <f>IF($G256=0,"",COUNTIF($G$2:G256,1))</f>
        <v/>
      </c>
      <c r="I256" s="69" t="str">
        <f t="shared" si="7"/>
        <v/>
      </c>
    </row>
    <row r="257" spans="1:9">
      <c r="A257" s="67"/>
      <c r="B257" s="67"/>
      <c r="C257" s="67"/>
      <c r="D257" s="67"/>
      <c r="E257" s="68">
        <f t="shared" si="6"/>
        <v>0</v>
      </c>
      <c r="F257" s="68" t="str">
        <f>IFERROR(INDEX($A$2:$A$226,MATCH(ROWS($E$2:E257),$E$2:$E$226,0)),"")</f>
        <v/>
      </c>
      <c r="G257" s="69">
        <f>IF(ISERROR(SEARCH('80-120'!$A$5,$F257)),0,1)</f>
        <v>0</v>
      </c>
      <c r="H257" s="69" t="str">
        <f>IF($G257=0,"",COUNTIF($G$2:G257,1))</f>
        <v/>
      </c>
      <c r="I257" s="69" t="str">
        <f t="shared" si="7"/>
        <v/>
      </c>
    </row>
  </sheetData>
  <sheetProtection algorithmName="SHA-512" hashValue="I5uJYPWziSHEtmr79VLfD8n7f0DO8y3Eo4rIqXu1UvcgC3pHA3aZxRXQHqgOx9/qKOsYs84U1UQYPrg7vB/ppg==" saltValue="ZRTFRiwYTUVGn/TiZmrRCw==" spinCount="100000" sheet="1" objects="1" scenarios="1" selectLockedCells="1" selectUnlockedCells="1"/>
  <printOptions horizontalCentered="1"/>
  <pageMargins left="0.2" right="0.2" top="0.5" bottom="0.75" header="0" footer="0.3"/>
  <pageSetup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06"/>
  <sheetViews>
    <sheetView topLeftCell="AL2" zoomScaleNormal="100" workbookViewId="0">
      <selection activeCell="AS2" sqref="AS1:AS1048576"/>
    </sheetView>
  </sheetViews>
  <sheetFormatPr defaultColWidth="8.88671875" defaultRowHeight="10.199999999999999"/>
  <cols>
    <col min="1" max="1" width="20.33203125" style="1" customWidth="1"/>
    <col min="2" max="2" width="15.6640625" style="1" bestFit="1" customWidth="1"/>
    <col min="3" max="3" width="4.33203125" style="63" customWidth="1"/>
    <col min="4" max="4" width="3.6640625" style="1" customWidth="1"/>
    <col min="5" max="5" width="7.109375" style="1" customWidth="1"/>
    <col min="6" max="6" width="7.88671875" style="1" customWidth="1"/>
    <col min="7" max="8" width="9.33203125" style="4" bestFit="1" customWidth="1"/>
    <col min="9" max="9" width="8" style="4" bestFit="1" customWidth="1"/>
    <col min="10" max="10" width="11" style="4" customWidth="1"/>
    <col min="11" max="13" width="10.33203125" style="5" customWidth="1"/>
    <col min="14" max="38" width="8.88671875" style="4"/>
    <col min="39" max="39" width="41.33203125" style="4" bestFit="1" customWidth="1"/>
    <col min="40" max="43" width="8.88671875" style="4"/>
    <col min="44" max="157" width="14.88671875" style="4" customWidth="1"/>
    <col min="158" max="16384" width="8.88671875" style="4"/>
  </cols>
  <sheetData>
    <row r="1" spans="1:56">
      <c r="A1" s="1" t="s">
        <v>0</v>
      </c>
      <c r="B1" s="2"/>
      <c r="C1" s="3"/>
      <c r="D1" s="2"/>
      <c r="E1" s="2"/>
      <c r="F1" s="2"/>
    </row>
    <row r="2" spans="1:56" ht="83.4" thickBot="1">
      <c r="A2" s="6" t="s">
        <v>1</v>
      </c>
      <c r="B2" s="7" t="s">
        <v>2</v>
      </c>
      <c r="C2" s="8" t="s">
        <v>3</v>
      </c>
      <c r="D2" s="7" t="s">
        <v>4</v>
      </c>
      <c r="E2" s="7" t="s">
        <v>5</v>
      </c>
      <c r="F2" s="7" t="s">
        <v>6</v>
      </c>
      <c r="G2" s="4" t="s">
        <v>7</v>
      </c>
      <c r="H2" s="4" t="s">
        <v>8</v>
      </c>
      <c r="I2" s="4" t="s">
        <v>9</v>
      </c>
      <c r="J2" s="4" t="s">
        <v>10</v>
      </c>
      <c r="K2" s="9" t="s">
        <v>11</v>
      </c>
      <c r="L2" s="416" t="s">
        <v>964</v>
      </c>
      <c r="M2" s="416" t="s">
        <v>965</v>
      </c>
      <c r="N2" s="4" t="s">
        <v>966</v>
      </c>
      <c r="O2" s="6" t="s">
        <v>1</v>
      </c>
      <c r="P2" s="7" t="s">
        <v>2</v>
      </c>
      <c r="Q2" s="8" t="s">
        <v>3</v>
      </c>
      <c r="R2" s="7" t="s">
        <v>4</v>
      </c>
      <c r="S2" s="7" t="s">
        <v>5</v>
      </c>
      <c r="T2" s="7" t="s">
        <v>6</v>
      </c>
      <c r="U2" s="10" t="s">
        <v>12</v>
      </c>
      <c r="V2" s="10" t="s">
        <v>13</v>
      </c>
      <c r="W2" s="10" t="s">
        <v>14</v>
      </c>
      <c r="X2" s="11" t="s">
        <v>15</v>
      </c>
      <c r="Y2" s="11" t="s">
        <v>16</v>
      </c>
      <c r="Z2" s="11"/>
      <c r="AA2" s="11"/>
      <c r="AC2" s="12" t="s">
        <v>1</v>
      </c>
      <c r="AD2" s="13" t="s">
        <v>2</v>
      </c>
      <c r="AE2" s="14" t="s">
        <v>3</v>
      </c>
      <c r="AF2" s="13" t="s">
        <v>4</v>
      </c>
      <c r="AG2" s="13" t="s">
        <v>5</v>
      </c>
      <c r="AH2" s="13" t="s">
        <v>6</v>
      </c>
      <c r="AI2" s="12" t="s">
        <v>17</v>
      </c>
      <c r="AJ2" s="12" t="s">
        <v>18</v>
      </c>
      <c r="AK2" s="12" t="s">
        <v>19</v>
      </c>
      <c r="AM2" s="12" t="s">
        <v>1</v>
      </c>
      <c r="AN2" s="14" t="s">
        <v>3</v>
      </c>
      <c r="AO2" s="13" t="s">
        <v>4</v>
      </c>
      <c r="AP2" s="13" t="s">
        <v>5</v>
      </c>
      <c r="AQ2" s="13" t="s">
        <v>6</v>
      </c>
      <c r="AR2" s="15" t="s">
        <v>20</v>
      </c>
    </row>
    <row r="3" spans="1:56" ht="14.4">
      <c r="A3" s="16" t="s">
        <v>21</v>
      </c>
      <c r="B3" s="17" t="s">
        <v>22</v>
      </c>
      <c r="C3" s="18" t="s">
        <v>23</v>
      </c>
      <c r="D3" s="19" t="s">
        <v>24</v>
      </c>
      <c r="E3" s="20" t="s">
        <v>25</v>
      </c>
      <c r="F3" s="21" t="s">
        <v>26</v>
      </c>
      <c r="G3" s="22">
        <v>43326</v>
      </c>
      <c r="H3" s="22">
        <v>34916</v>
      </c>
      <c r="I3" s="22">
        <v>8410</v>
      </c>
      <c r="J3" s="23">
        <v>0.19410977242302543</v>
      </c>
      <c r="K3" s="412">
        <f>MIN($L3,MAX($M3,$N3))</f>
        <v>604</v>
      </c>
      <c r="L3" s="417">
        <v>604</v>
      </c>
      <c r="M3" s="417">
        <v>2922</v>
      </c>
      <c r="N3" s="4">
        <v>604</v>
      </c>
      <c r="O3" s="24" t="s">
        <v>27</v>
      </c>
      <c r="P3" s="17" t="s">
        <v>28</v>
      </c>
      <c r="Q3" s="18" t="s">
        <v>29</v>
      </c>
      <c r="R3" s="19" t="s">
        <v>30</v>
      </c>
      <c r="S3" s="20" t="s">
        <v>31</v>
      </c>
      <c r="T3" s="21" t="s">
        <v>32</v>
      </c>
      <c r="U3" s="10">
        <v>1.093</v>
      </c>
      <c r="V3" s="10">
        <v>1.0940000000000001</v>
      </c>
      <c r="W3" s="11">
        <v>0.25</v>
      </c>
      <c r="X3" s="11">
        <v>0.75</v>
      </c>
      <c r="Y3" s="11">
        <f t="shared" ref="Y3:Y66" si="0">W3*U3+X3*V3</f>
        <v>1.09375</v>
      </c>
      <c r="Z3" s="11" t="s">
        <v>33</v>
      </c>
      <c r="AA3" s="11" t="s">
        <v>33</v>
      </c>
      <c r="AC3" s="25" t="s">
        <v>21</v>
      </c>
      <c r="AD3" s="26" t="s">
        <v>22</v>
      </c>
      <c r="AE3" s="27" t="s">
        <v>23</v>
      </c>
      <c r="AF3" s="28" t="s">
        <v>24</v>
      </c>
      <c r="AG3" s="29" t="s">
        <v>25</v>
      </c>
      <c r="AH3" s="26" t="s">
        <v>26</v>
      </c>
      <c r="AI3" s="30">
        <v>1</v>
      </c>
      <c r="AJ3" s="30" t="s">
        <v>34</v>
      </c>
      <c r="AK3" s="31">
        <v>5444.5</v>
      </c>
      <c r="AM3" s="25" t="s">
        <v>21</v>
      </c>
      <c r="AN3" s="27" t="s">
        <v>23</v>
      </c>
      <c r="AO3" s="28" t="s">
        <v>24</v>
      </c>
      <c r="AP3" s="29" t="s">
        <v>25</v>
      </c>
      <c r="AQ3" s="26" t="s">
        <v>26</v>
      </c>
      <c r="AR3" s="32">
        <v>44515775.969999999</v>
      </c>
      <c r="AV3" s="396" t="s">
        <v>949</v>
      </c>
      <c r="AW3" s="397" t="s">
        <v>950</v>
      </c>
      <c r="AX3" s="397" t="s">
        <v>950</v>
      </c>
      <c r="AY3" s="397" t="s">
        <v>951</v>
      </c>
      <c r="AZ3" s="397" t="s">
        <v>951</v>
      </c>
    </row>
    <row r="4" spans="1:56" ht="15" thickBot="1">
      <c r="A4" s="17" t="s">
        <v>35</v>
      </c>
      <c r="B4" s="17" t="s">
        <v>36</v>
      </c>
      <c r="C4" s="18" t="s">
        <v>37</v>
      </c>
      <c r="D4" s="19" t="s">
        <v>24</v>
      </c>
      <c r="E4" s="20" t="s">
        <v>38</v>
      </c>
      <c r="F4" s="21" t="s">
        <v>26</v>
      </c>
      <c r="G4" s="22">
        <v>667445</v>
      </c>
      <c r="H4" s="22">
        <v>643095</v>
      </c>
      <c r="I4" s="22">
        <v>24350</v>
      </c>
      <c r="J4" s="23">
        <v>3.6482406790072593E-2</v>
      </c>
      <c r="K4" s="412">
        <f t="shared" ref="K4:K35" si="1">MIN($L4,MAX($M4,$N4))</f>
        <v>11469</v>
      </c>
      <c r="L4" s="417">
        <v>11469</v>
      </c>
      <c r="M4" s="417">
        <v>37650</v>
      </c>
      <c r="N4" s="4">
        <v>11469</v>
      </c>
      <c r="O4" s="24" t="s">
        <v>39</v>
      </c>
      <c r="P4" s="17" t="s">
        <v>36</v>
      </c>
      <c r="Q4" s="18" t="s">
        <v>37</v>
      </c>
      <c r="R4" s="19" t="s">
        <v>40</v>
      </c>
      <c r="S4" s="20" t="s">
        <v>41</v>
      </c>
      <c r="T4" s="21" t="s">
        <v>32</v>
      </c>
      <c r="U4" s="10" t="s">
        <v>42</v>
      </c>
      <c r="V4" s="10" t="s">
        <v>42</v>
      </c>
      <c r="W4" s="11">
        <v>0.25</v>
      </c>
      <c r="X4" s="11">
        <v>0.75</v>
      </c>
      <c r="Y4" s="11">
        <f t="shared" si="0"/>
        <v>1</v>
      </c>
      <c r="Z4" s="11" t="s">
        <v>33</v>
      </c>
      <c r="AA4" s="11" t="s">
        <v>33</v>
      </c>
      <c r="AC4" s="26" t="s">
        <v>35</v>
      </c>
      <c r="AD4" s="26" t="s">
        <v>36</v>
      </c>
      <c r="AE4" s="27" t="s">
        <v>37</v>
      </c>
      <c r="AF4" s="28" t="s">
        <v>24</v>
      </c>
      <c r="AG4" s="29" t="s">
        <v>38</v>
      </c>
      <c r="AH4" s="26" t="s">
        <v>26</v>
      </c>
      <c r="AI4" s="33">
        <v>388</v>
      </c>
      <c r="AJ4" s="30" t="s">
        <v>34</v>
      </c>
      <c r="AK4" s="31">
        <v>73060</v>
      </c>
      <c r="AM4" s="26" t="s">
        <v>35</v>
      </c>
      <c r="AN4" s="27" t="s">
        <v>37</v>
      </c>
      <c r="AO4" s="28" t="s">
        <v>24</v>
      </c>
      <c r="AP4" s="29" t="s">
        <v>38</v>
      </c>
      <c r="AQ4" s="26" t="s">
        <v>26</v>
      </c>
      <c r="AR4" s="32">
        <v>707156770.33000004</v>
      </c>
      <c r="AV4" s="398" t="s">
        <v>952</v>
      </c>
      <c r="AW4" s="399" t="s">
        <v>953</v>
      </c>
      <c r="AX4" s="399" t="s">
        <v>954</v>
      </c>
      <c r="AY4" s="399" t="s">
        <v>953</v>
      </c>
      <c r="AZ4" s="400" t="s">
        <v>954</v>
      </c>
    </row>
    <row r="5" spans="1:56" ht="14.4">
      <c r="A5" s="24" t="s">
        <v>39</v>
      </c>
      <c r="B5" s="17" t="s">
        <v>36</v>
      </c>
      <c r="C5" s="18" t="s">
        <v>37</v>
      </c>
      <c r="D5" s="19" t="s">
        <v>40</v>
      </c>
      <c r="E5" s="20" t="s">
        <v>41</v>
      </c>
      <c r="F5" s="21" t="s">
        <v>32</v>
      </c>
      <c r="K5" s="412">
        <f t="shared" si="1"/>
        <v>0</v>
      </c>
      <c r="L5" s="417">
        <v>0</v>
      </c>
      <c r="M5" s="417">
        <v>0</v>
      </c>
      <c r="N5" s="4">
        <v>0</v>
      </c>
      <c r="O5" s="34" t="s">
        <v>43</v>
      </c>
      <c r="P5" s="35" t="s">
        <v>36</v>
      </c>
      <c r="Q5" s="36" t="s">
        <v>44</v>
      </c>
      <c r="R5" s="37" t="s">
        <v>37</v>
      </c>
      <c r="S5" s="38" t="s">
        <v>45</v>
      </c>
      <c r="T5" s="35" t="s">
        <v>46</v>
      </c>
      <c r="U5" s="10" t="s">
        <v>42</v>
      </c>
      <c r="V5" s="10" t="s">
        <v>42</v>
      </c>
      <c r="W5" s="11">
        <v>0.25</v>
      </c>
      <c r="X5" s="11">
        <v>0.75</v>
      </c>
      <c r="Y5" s="11">
        <f t="shared" si="0"/>
        <v>1</v>
      </c>
      <c r="Z5" s="11" t="s">
        <v>33</v>
      </c>
      <c r="AA5" s="11" t="s">
        <v>33</v>
      </c>
      <c r="AC5" s="39" t="s">
        <v>39</v>
      </c>
      <c r="AD5" s="26" t="s">
        <v>36</v>
      </c>
      <c r="AE5" s="27" t="s">
        <v>37</v>
      </c>
      <c r="AF5" s="28" t="s">
        <v>40</v>
      </c>
      <c r="AG5" s="29" t="s">
        <v>41</v>
      </c>
      <c r="AH5" s="26" t="s">
        <v>32</v>
      </c>
      <c r="AI5" s="30">
        <v>0</v>
      </c>
      <c r="AJ5" s="30" t="s">
        <v>34</v>
      </c>
      <c r="AK5" s="31">
        <v>249</v>
      </c>
      <c r="AM5" s="39" t="s">
        <v>47</v>
      </c>
      <c r="AN5" s="27" t="s">
        <v>37</v>
      </c>
      <c r="AO5" s="28" t="s">
        <v>40</v>
      </c>
      <c r="AP5" s="29" t="s">
        <v>41</v>
      </c>
      <c r="AQ5" s="26" t="s">
        <v>32</v>
      </c>
      <c r="AR5" s="32">
        <v>2668415.4</v>
      </c>
      <c r="AV5" s="401" t="s">
        <v>794</v>
      </c>
      <c r="AW5" s="402"/>
      <c r="AX5" s="402"/>
      <c r="AY5" s="402"/>
      <c r="AZ5" s="403"/>
    </row>
    <row r="6" spans="1:56" ht="14.4">
      <c r="A6" s="24" t="s">
        <v>48</v>
      </c>
      <c r="B6" s="17" t="s">
        <v>36</v>
      </c>
      <c r="C6" s="18" t="s">
        <v>37</v>
      </c>
      <c r="D6" s="19" t="s">
        <v>49</v>
      </c>
      <c r="E6" s="20" t="s">
        <v>50</v>
      </c>
      <c r="F6" s="21" t="s">
        <v>32</v>
      </c>
      <c r="K6" s="412">
        <f t="shared" si="1"/>
        <v>0</v>
      </c>
      <c r="L6" s="417">
        <v>0</v>
      </c>
      <c r="M6" s="417">
        <v>0</v>
      </c>
      <c r="N6" s="4">
        <v>0</v>
      </c>
      <c r="O6" s="35" t="s">
        <v>51</v>
      </c>
      <c r="P6" s="35" t="s">
        <v>36</v>
      </c>
      <c r="Q6" s="36" t="s">
        <v>52</v>
      </c>
      <c r="R6" s="37" t="s">
        <v>37</v>
      </c>
      <c r="S6" s="38" t="s">
        <v>53</v>
      </c>
      <c r="T6" s="35" t="s">
        <v>46</v>
      </c>
      <c r="U6" s="10">
        <v>1.1499999999999999</v>
      </c>
      <c r="V6" s="10">
        <v>1.139</v>
      </c>
      <c r="W6" s="11">
        <v>0.25</v>
      </c>
      <c r="X6" s="11">
        <v>0.75</v>
      </c>
      <c r="Y6" s="11">
        <f t="shared" si="0"/>
        <v>1.14175</v>
      </c>
      <c r="Z6" s="11" t="s">
        <v>33</v>
      </c>
      <c r="AA6" s="11" t="s">
        <v>33</v>
      </c>
      <c r="AC6" s="39" t="s">
        <v>48</v>
      </c>
      <c r="AD6" s="26" t="s">
        <v>36</v>
      </c>
      <c r="AE6" s="27" t="s">
        <v>37</v>
      </c>
      <c r="AF6" s="28" t="s">
        <v>49</v>
      </c>
      <c r="AG6" s="29" t="s">
        <v>50</v>
      </c>
      <c r="AH6" s="26" t="s">
        <v>32</v>
      </c>
      <c r="AI6" s="30">
        <v>1</v>
      </c>
      <c r="AJ6" s="30" t="s">
        <v>34</v>
      </c>
      <c r="AK6" s="31">
        <v>327</v>
      </c>
      <c r="AM6" s="39" t="s">
        <v>54</v>
      </c>
      <c r="AN6" s="27" t="s">
        <v>37</v>
      </c>
      <c r="AO6" s="28" t="s">
        <v>49</v>
      </c>
      <c r="AP6" s="29" t="s">
        <v>50</v>
      </c>
      <c r="AQ6" s="26" t="s">
        <v>32</v>
      </c>
      <c r="AR6" s="32">
        <v>3213465.9</v>
      </c>
      <c r="AV6" s="404" t="s">
        <v>955</v>
      </c>
      <c r="AW6" s="405">
        <v>38241</v>
      </c>
      <c r="AX6" s="405">
        <v>34416.9</v>
      </c>
      <c r="AY6" s="405">
        <v>38241</v>
      </c>
      <c r="AZ6" s="406">
        <v>34416.9</v>
      </c>
      <c r="BA6" s="26" t="s">
        <v>424</v>
      </c>
      <c r="BB6" s="27" t="s">
        <v>425</v>
      </c>
      <c r="BC6" s="28" t="s">
        <v>24</v>
      </c>
      <c r="BD6" s="29" t="s">
        <v>426</v>
      </c>
    </row>
    <row r="7" spans="1:56" ht="14.4">
      <c r="A7" s="24" t="s">
        <v>55</v>
      </c>
      <c r="B7" s="17" t="s">
        <v>36</v>
      </c>
      <c r="C7" s="18" t="s">
        <v>37</v>
      </c>
      <c r="D7" s="19" t="s">
        <v>56</v>
      </c>
      <c r="E7" s="20" t="s">
        <v>57</v>
      </c>
      <c r="F7" s="21" t="s">
        <v>32</v>
      </c>
      <c r="K7" s="412">
        <f t="shared" si="1"/>
        <v>0</v>
      </c>
      <c r="L7" s="417">
        <v>0</v>
      </c>
      <c r="M7" s="417">
        <v>0</v>
      </c>
      <c r="N7" s="4">
        <v>0</v>
      </c>
      <c r="O7" s="16" t="s">
        <v>21</v>
      </c>
      <c r="P7" s="17" t="s">
        <v>22</v>
      </c>
      <c r="Q7" s="18" t="s">
        <v>23</v>
      </c>
      <c r="R7" s="19" t="s">
        <v>24</v>
      </c>
      <c r="S7" s="20" t="s">
        <v>25</v>
      </c>
      <c r="T7" s="21" t="s">
        <v>26</v>
      </c>
      <c r="U7" s="10">
        <v>1.0489999999999999</v>
      </c>
      <c r="V7" s="10">
        <v>1.0329999999999999</v>
      </c>
      <c r="W7" s="11">
        <v>0.25</v>
      </c>
      <c r="X7" s="11">
        <v>0.75</v>
      </c>
      <c r="Y7" s="11">
        <f t="shared" si="0"/>
        <v>1.0369999999999999</v>
      </c>
      <c r="Z7" s="11" t="s">
        <v>33</v>
      </c>
      <c r="AA7" s="11" t="s">
        <v>33</v>
      </c>
      <c r="AC7" s="39" t="s">
        <v>55</v>
      </c>
      <c r="AD7" s="26" t="s">
        <v>36</v>
      </c>
      <c r="AE7" s="27" t="s">
        <v>37</v>
      </c>
      <c r="AF7" s="28" t="s">
        <v>56</v>
      </c>
      <c r="AG7" s="29" t="s">
        <v>57</v>
      </c>
      <c r="AH7" s="26" t="s">
        <v>32</v>
      </c>
      <c r="AI7" s="30">
        <v>0</v>
      </c>
      <c r="AJ7" s="30" t="s">
        <v>34</v>
      </c>
      <c r="AK7" s="31">
        <v>118</v>
      </c>
      <c r="AM7" s="39" t="s">
        <v>58</v>
      </c>
      <c r="AN7" s="27" t="s">
        <v>37</v>
      </c>
      <c r="AO7" s="28" t="s">
        <v>56</v>
      </c>
      <c r="AP7" s="29" t="s">
        <v>57</v>
      </c>
      <c r="AQ7" s="26" t="s">
        <v>32</v>
      </c>
      <c r="AR7" s="32">
        <v>1684959.84</v>
      </c>
      <c r="AV7" s="404"/>
      <c r="AW7" s="405"/>
      <c r="AX7" s="405"/>
      <c r="AY7" s="405"/>
      <c r="AZ7" s="406"/>
    </row>
    <row r="8" spans="1:56" ht="14.4">
      <c r="A8" s="24" t="s">
        <v>59</v>
      </c>
      <c r="B8" s="17" t="s">
        <v>36</v>
      </c>
      <c r="C8" s="18" t="s">
        <v>37</v>
      </c>
      <c r="D8" s="19" t="s">
        <v>60</v>
      </c>
      <c r="E8" s="20" t="s">
        <v>61</v>
      </c>
      <c r="F8" s="21" t="s">
        <v>32</v>
      </c>
      <c r="K8" s="412">
        <f t="shared" si="1"/>
        <v>0</v>
      </c>
      <c r="L8" s="417">
        <v>0</v>
      </c>
      <c r="M8" s="417">
        <v>381.5</v>
      </c>
      <c r="N8" s="4">
        <v>0</v>
      </c>
      <c r="O8" s="17" t="s">
        <v>35</v>
      </c>
      <c r="P8" s="17" t="s">
        <v>36</v>
      </c>
      <c r="Q8" s="18" t="s">
        <v>37</v>
      </c>
      <c r="R8" s="19" t="s">
        <v>24</v>
      </c>
      <c r="S8" s="20" t="s">
        <v>38</v>
      </c>
      <c r="T8" s="21" t="s">
        <v>26</v>
      </c>
      <c r="U8" s="10">
        <v>1.08</v>
      </c>
      <c r="V8" s="10">
        <v>1.077</v>
      </c>
      <c r="W8" s="11">
        <v>0.25</v>
      </c>
      <c r="X8" s="11">
        <v>0.75</v>
      </c>
      <c r="Y8" s="11">
        <f t="shared" si="0"/>
        <v>1.07775</v>
      </c>
      <c r="Z8" s="11" t="s">
        <v>33</v>
      </c>
      <c r="AA8" s="11" t="s">
        <v>33</v>
      </c>
      <c r="AC8" s="39" t="s">
        <v>59</v>
      </c>
      <c r="AD8" s="26" t="s">
        <v>36</v>
      </c>
      <c r="AE8" s="27" t="s">
        <v>37</v>
      </c>
      <c r="AF8" s="28" t="s">
        <v>60</v>
      </c>
      <c r="AG8" s="29" t="s">
        <v>61</v>
      </c>
      <c r="AH8" s="26" t="s">
        <v>32</v>
      </c>
      <c r="AI8" s="30">
        <v>2</v>
      </c>
      <c r="AJ8" s="30" t="s">
        <v>34</v>
      </c>
      <c r="AK8" s="31">
        <v>472</v>
      </c>
      <c r="AM8" s="39" t="s">
        <v>59</v>
      </c>
      <c r="AN8" s="27" t="s">
        <v>37</v>
      </c>
      <c r="AO8" s="28" t="s">
        <v>60</v>
      </c>
      <c r="AP8" s="29" t="s">
        <v>61</v>
      </c>
      <c r="AQ8" s="26" t="s">
        <v>32</v>
      </c>
      <c r="AR8" s="32">
        <v>4443964.72</v>
      </c>
      <c r="AV8" s="404" t="s">
        <v>956</v>
      </c>
      <c r="AW8" s="405">
        <v>202018.52222222224</v>
      </c>
      <c r="AX8" s="405">
        <v>181816.67</v>
      </c>
      <c r="AY8" s="405">
        <v>185138.63333333333</v>
      </c>
      <c r="AZ8" s="406">
        <v>166624.76999999999</v>
      </c>
    </row>
    <row r="9" spans="1:56" ht="14.4">
      <c r="A9" s="24" t="s">
        <v>62</v>
      </c>
      <c r="B9" s="17" t="s">
        <v>36</v>
      </c>
      <c r="C9" s="18" t="s">
        <v>37</v>
      </c>
      <c r="D9" s="19" t="s">
        <v>63</v>
      </c>
      <c r="E9" s="20" t="s">
        <v>64</v>
      </c>
      <c r="F9" s="21" t="s">
        <v>32</v>
      </c>
      <c r="K9" s="412">
        <f t="shared" si="1"/>
        <v>0</v>
      </c>
      <c r="L9" s="417">
        <v>0</v>
      </c>
      <c r="M9" s="417">
        <v>310.5</v>
      </c>
      <c r="N9" s="4">
        <v>0</v>
      </c>
      <c r="O9" s="35" t="s">
        <v>65</v>
      </c>
      <c r="P9" s="35" t="s">
        <v>36</v>
      </c>
      <c r="Q9" s="36" t="s">
        <v>66</v>
      </c>
      <c r="R9" s="37" t="s">
        <v>37</v>
      </c>
      <c r="S9" s="38" t="s">
        <v>67</v>
      </c>
      <c r="T9" s="35" t="s">
        <v>46</v>
      </c>
      <c r="U9" s="10">
        <v>1.1379999999999999</v>
      </c>
      <c r="V9" s="10">
        <v>1.135</v>
      </c>
      <c r="W9" s="11">
        <v>0.25</v>
      </c>
      <c r="X9" s="11">
        <v>0.75</v>
      </c>
      <c r="Y9" s="11">
        <f t="shared" si="0"/>
        <v>1.13575</v>
      </c>
      <c r="Z9" s="11" t="s">
        <v>33</v>
      </c>
      <c r="AA9" s="11" t="s">
        <v>33</v>
      </c>
      <c r="AC9" s="39" t="s">
        <v>62</v>
      </c>
      <c r="AD9" s="26" t="s">
        <v>36</v>
      </c>
      <c r="AE9" s="27" t="s">
        <v>37</v>
      </c>
      <c r="AF9" s="28" t="s">
        <v>63</v>
      </c>
      <c r="AG9" s="29" t="s">
        <v>64</v>
      </c>
      <c r="AH9" s="26" t="s">
        <v>32</v>
      </c>
      <c r="AI9" s="30">
        <v>0</v>
      </c>
      <c r="AJ9" s="30" t="s">
        <v>34</v>
      </c>
      <c r="AK9" s="31">
        <v>398.5</v>
      </c>
      <c r="AM9" s="39" t="s">
        <v>68</v>
      </c>
      <c r="AN9" s="27" t="s">
        <v>37</v>
      </c>
      <c r="AO9" s="28" t="s">
        <v>63</v>
      </c>
      <c r="AP9" s="29" t="s">
        <v>64</v>
      </c>
      <c r="AQ9" s="26" t="s">
        <v>32</v>
      </c>
      <c r="AR9" s="32">
        <v>4425674.63</v>
      </c>
      <c r="AV9" s="404" t="s">
        <v>957</v>
      </c>
      <c r="AW9" s="405">
        <v>55157.777777777774</v>
      </c>
      <c r="AX9" s="405">
        <v>49642</v>
      </c>
      <c r="AY9" s="405">
        <v>56065.555555555555</v>
      </c>
      <c r="AZ9" s="406">
        <v>50459</v>
      </c>
    </row>
    <row r="10" spans="1:56" ht="14.4">
      <c r="A10" s="24" t="s">
        <v>69</v>
      </c>
      <c r="B10" s="17" t="s">
        <v>36</v>
      </c>
      <c r="C10" s="18" t="s">
        <v>37</v>
      </c>
      <c r="D10" s="19" t="s">
        <v>70</v>
      </c>
      <c r="E10" s="20" t="s">
        <v>71</v>
      </c>
      <c r="F10" s="21" t="s">
        <v>32</v>
      </c>
      <c r="K10" s="412">
        <f t="shared" si="1"/>
        <v>0</v>
      </c>
      <c r="L10" s="417">
        <v>0</v>
      </c>
      <c r="M10" s="417">
        <v>325</v>
      </c>
      <c r="N10" s="4">
        <v>0</v>
      </c>
      <c r="O10" s="24" t="s">
        <v>48</v>
      </c>
      <c r="P10" s="17" t="s">
        <v>36</v>
      </c>
      <c r="Q10" s="18" t="s">
        <v>37</v>
      </c>
      <c r="R10" s="19" t="s">
        <v>49</v>
      </c>
      <c r="S10" s="20" t="s">
        <v>50</v>
      </c>
      <c r="T10" s="21" t="s">
        <v>32</v>
      </c>
      <c r="U10" s="10">
        <v>1.151</v>
      </c>
      <c r="V10" s="10">
        <v>1.1399999999999999</v>
      </c>
      <c r="W10" s="11">
        <v>0.25</v>
      </c>
      <c r="X10" s="11">
        <v>0.75</v>
      </c>
      <c r="Y10" s="11">
        <f t="shared" si="0"/>
        <v>1.1427499999999999</v>
      </c>
      <c r="Z10" s="11" t="s">
        <v>33</v>
      </c>
      <c r="AA10" s="11" t="s">
        <v>33</v>
      </c>
      <c r="AC10" s="39" t="s">
        <v>69</v>
      </c>
      <c r="AD10" s="26" t="s">
        <v>36</v>
      </c>
      <c r="AE10" s="27" t="s">
        <v>37</v>
      </c>
      <c r="AF10" s="28" t="s">
        <v>70</v>
      </c>
      <c r="AG10" s="29" t="s">
        <v>71</v>
      </c>
      <c r="AH10" s="26" t="s">
        <v>32</v>
      </c>
      <c r="AI10" s="30">
        <v>3</v>
      </c>
      <c r="AJ10" s="30" t="s">
        <v>34</v>
      </c>
      <c r="AK10" s="31">
        <v>424</v>
      </c>
      <c r="AM10" s="39" t="s">
        <v>69</v>
      </c>
      <c r="AN10" s="27" t="s">
        <v>37</v>
      </c>
      <c r="AO10" s="28" t="s">
        <v>70</v>
      </c>
      <c r="AP10" s="29" t="s">
        <v>71</v>
      </c>
      <c r="AQ10" s="26" t="s">
        <v>32</v>
      </c>
      <c r="AR10" s="32">
        <v>3908843.28</v>
      </c>
      <c r="AV10" s="404" t="s">
        <v>958</v>
      </c>
      <c r="AW10" s="405">
        <v>257176.30000000002</v>
      </c>
      <c r="AX10" s="405">
        <v>231458.67</v>
      </c>
      <c r="AY10" s="405">
        <v>241204.18888888889</v>
      </c>
      <c r="AZ10" s="406">
        <v>217083.77</v>
      </c>
      <c r="BA10" s="26" t="s">
        <v>28</v>
      </c>
      <c r="BB10" s="27" t="s">
        <v>29</v>
      </c>
      <c r="BC10" s="28" t="s">
        <v>24</v>
      </c>
      <c r="BD10" s="29" t="s">
        <v>487</v>
      </c>
    </row>
    <row r="11" spans="1:56" ht="14.4">
      <c r="A11" s="24" t="s">
        <v>72</v>
      </c>
      <c r="B11" s="17" t="s">
        <v>36</v>
      </c>
      <c r="C11" s="18" t="s">
        <v>37</v>
      </c>
      <c r="D11" s="19" t="s">
        <v>73</v>
      </c>
      <c r="E11" s="20" t="s">
        <v>74</v>
      </c>
      <c r="F11" s="21" t="s">
        <v>32</v>
      </c>
      <c r="K11" s="412">
        <f t="shared" si="1"/>
        <v>0</v>
      </c>
      <c r="L11" s="417">
        <v>0</v>
      </c>
      <c r="M11" s="417">
        <v>207.5</v>
      </c>
      <c r="N11" s="4">
        <v>0</v>
      </c>
      <c r="O11" s="35" t="s">
        <v>75</v>
      </c>
      <c r="P11" s="35" t="s">
        <v>36</v>
      </c>
      <c r="Q11" s="36" t="s">
        <v>76</v>
      </c>
      <c r="R11" s="37" t="s">
        <v>37</v>
      </c>
      <c r="S11" s="38" t="s">
        <v>77</v>
      </c>
      <c r="T11" s="35" t="s">
        <v>46</v>
      </c>
      <c r="U11" s="10" t="s">
        <v>42</v>
      </c>
      <c r="V11" s="10" t="s">
        <v>42</v>
      </c>
      <c r="W11" s="11">
        <v>0.25</v>
      </c>
      <c r="X11" s="11">
        <v>0.75</v>
      </c>
      <c r="Y11" s="11">
        <f t="shared" si="0"/>
        <v>1</v>
      </c>
      <c r="Z11" s="11" t="s">
        <v>33</v>
      </c>
      <c r="AA11" s="11" t="s">
        <v>33</v>
      </c>
      <c r="AC11" s="39" t="s">
        <v>72</v>
      </c>
      <c r="AD11" s="26" t="s">
        <v>36</v>
      </c>
      <c r="AE11" s="27" t="s">
        <v>37</v>
      </c>
      <c r="AF11" s="28" t="s">
        <v>73</v>
      </c>
      <c r="AG11" s="29" t="s">
        <v>74</v>
      </c>
      <c r="AH11" s="26" t="s">
        <v>32</v>
      </c>
      <c r="AI11" s="30">
        <v>0</v>
      </c>
      <c r="AJ11" s="30" t="s">
        <v>34</v>
      </c>
      <c r="AK11" s="31">
        <v>209.5</v>
      </c>
      <c r="AM11" s="39" t="s">
        <v>78</v>
      </c>
      <c r="AN11" s="27" t="s">
        <v>37</v>
      </c>
      <c r="AO11" s="28" t="s">
        <v>73</v>
      </c>
      <c r="AP11" s="29" t="s">
        <v>74</v>
      </c>
      <c r="AQ11" s="26" t="s">
        <v>32</v>
      </c>
      <c r="AR11" s="32">
        <v>1805458.81</v>
      </c>
      <c r="AV11" s="407"/>
      <c r="AW11" s="405"/>
      <c r="AX11" s="405"/>
      <c r="AY11" s="405"/>
      <c r="AZ11" s="406"/>
    </row>
    <row r="12" spans="1:56" ht="14.4">
      <c r="A12" s="24" t="s">
        <v>79</v>
      </c>
      <c r="B12" s="17" t="s">
        <v>36</v>
      </c>
      <c r="C12" s="18" t="s">
        <v>37</v>
      </c>
      <c r="D12" s="19" t="s">
        <v>80</v>
      </c>
      <c r="E12" s="20" t="s">
        <v>81</v>
      </c>
      <c r="F12" s="21" t="s">
        <v>32</v>
      </c>
      <c r="K12" s="412">
        <f t="shared" si="1"/>
        <v>0</v>
      </c>
      <c r="L12" s="417">
        <v>0</v>
      </c>
      <c r="M12" s="417">
        <v>153</v>
      </c>
      <c r="N12" s="4">
        <v>0</v>
      </c>
      <c r="O12" s="35" t="s">
        <v>82</v>
      </c>
      <c r="P12" s="35" t="s">
        <v>36</v>
      </c>
      <c r="Q12" s="36" t="s">
        <v>83</v>
      </c>
      <c r="R12" s="37" t="s">
        <v>37</v>
      </c>
      <c r="S12" s="38" t="s">
        <v>84</v>
      </c>
      <c r="T12" s="35" t="s">
        <v>46</v>
      </c>
      <c r="U12" s="10">
        <v>1.0409999999999999</v>
      </c>
      <c r="V12" s="10" t="s">
        <v>42</v>
      </c>
      <c r="W12" s="11">
        <v>0.25</v>
      </c>
      <c r="X12" s="11">
        <v>0.75</v>
      </c>
      <c r="Y12" s="11">
        <f t="shared" si="0"/>
        <v>1.0102500000000001</v>
      </c>
      <c r="Z12" s="11" t="s">
        <v>33</v>
      </c>
      <c r="AA12" s="11" t="s">
        <v>33</v>
      </c>
      <c r="AC12" s="39" t="s">
        <v>79</v>
      </c>
      <c r="AD12" s="26" t="s">
        <v>36</v>
      </c>
      <c r="AE12" s="27" t="s">
        <v>37</v>
      </c>
      <c r="AF12" s="28" t="s">
        <v>80</v>
      </c>
      <c r="AG12" s="29" t="s">
        <v>81</v>
      </c>
      <c r="AH12" s="26" t="s">
        <v>32</v>
      </c>
      <c r="AI12" s="30">
        <v>0</v>
      </c>
      <c r="AJ12" s="30" t="s">
        <v>34</v>
      </c>
      <c r="AK12" s="31">
        <v>252</v>
      </c>
      <c r="AM12" s="39" t="s">
        <v>79</v>
      </c>
      <c r="AN12" s="27" t="s">
        <v>37</v>
      </c>
      <c r="AO12" s="28" t="s">
        <v>80</v>
      </c>
      <c r="AP12" s="29" t="s">
        <v>81</v>
      </c>
      <c r="AQ12" s="26" t="s">
        <v>32</v>
      </c>
      <c r="AR12" s="32">
        <v>2741684.57</v>
      </c>
      <c r="AV12" s="407" t="s">
        <v>959</v>
      </c>
      <c r="AW12" s="405">
        <v>39697</v>
      </c>
      <c r="AX12" s="405">
        <v>35727.300000000003</v>
      </c>
      <c r="AY12" s="405">
        <v>39697</v>
      </c>
      <c r="AZ12" s="406">
        <v>35727.300000000003</v>
      </c>
    </row>
    <row r="13" spans="1:56" ht="14.4">
      <c r="A13" s="24" t="s">
        <v>85</v>
      </c>
      <c r="B13" s="17" t="s">
        <v>36</v>
      </c>
      <c r="C13" s="18" t="s">
        <v>37</v>
      </c>
      <c r="D13" s="19" t="s">
        <v>86</v>
      </c>
      <c r="E13" s="20" t="s">
        <v>87</v>
      </c>
      <c r="F13" s="21" t="s">
        <v>32</v>
      </c>
      <c r="K13" s="412">
        <f t="shared" si="1"/>
        <v>0</v>
      </c>
      <c r="L13" s="417">
        <v>0</v>
      </c>
      <c r="M13" s="417">
        <v>126</v>
      </c>
      <c r="N13" s="4">
        <v>0</v>
      </c>
      <c r="O13" s="35" t="s">
        <v>88</v>
      </c>
      <c r="P13" s="35" t="s">
        <v>36</v>
      </c>
      <c r="Q13" s="36" t="s">
        <v>89</v>
      </c>
      <c r="R13" s="37" t="s">
        <v>37</v>
      </c>
      <c r="S13" s="38" t="s">
        <v>90</v>
      </c>
      <c r="T13" s="35" t="s">
        <v>46</v>
      </c>
      <c r="U13" s="10" t="s">
        <v>42</v>
      </c>
      <c r="V13" s="10" t="s">
        <v>42</v>
      </c>
      <c r="W13" s="11">
        <v>0.25</v>
      </c>
      <c r="X13" s="11">
        <v>0.75</v>
      </c>
      <c r="Y13" s="11">
        <f t="shared" si="0"/>
        <v>1</v>
      </c>
      <c r="Z13" s="11" t="s">
        <v>33</v>
      </c>
      <c r="AA13" s="11" t="s">
        <v>33</v>
      </c>
      <c r="AC13" s="39" t="s">
        <v>85</v>
      </c>
      <c r="AD13" s="26" t="s">
        <v>36</v>
      </c>
      <c r="AE13" s="27" t="s">
        <v>37</v>
      </c>
      <c r="AF13" s="28" t="s">
        <v>86</v>
      </c>
      <c r="AG13" s="29" t="s">
        <v>87</v>
      </c>
      <c r="AH13" s="26" t="s">
        <v>32</v>
      </c>
      <c r="AI13" s="30">
        <v>1</v>
      </c>
      <c r="AJ13" s="30" t="s">
        <v>34</v>
      </c>
      <c r="AK13" s="31">
        <v>782</v>
      </c>
      <c r="AM13" s="39" t="s">
        <v>91</v>
      </c>
      <c r="AN13" s="27" t="s">
        <v>37</v>
      </c>
      <c r="AO13" s="28" t="s">
        <v>86</v>
      </c>
      <c r="AP13" s="29" t="s">
        <v>87</v>
      </c>
      <c r="AQ13" s="26" t="s">
        <v>32</v>
      </c>
      <c r="AR13" s="32">
        <v>6017747.4000000004</v>
      </c>
      <c r="AV13" s="407" t="s">
        <v>960</v>
      </c>
      <c r="AW13" s="405">
        <v>0</v>
      </c>
      <c r="AX13" s="405">
        <v>0</v>
      </c>
      <c r="AY13" s="405">
        <v>131792</v>
      </c>
      <c r="AZ13" s="406">
        <v>118612.8</v>
      </c>
    </row>
    <row r="14" spans="1:56" ht="14.4">
      <c r="A14" s="24" t="s">
        <v>92</v>
      </c>
      <c r="B14" s="17" t="s">
        <v>36</v>
      </c>
      <c r="C14" s="18" t="s">
        <v>37</v>
      </c>
      <c r="D14" s="19" t="s">
        <v>93</v>
      </c>
      <c r="E14" s="20" t="s">
        <v>94</v>
      </c>
      <c r="F14" s="21" t="s">
        <v>32</v>
      </c>
      <c r="K14" s="412">
        <f t="shared" si="1"/>
        <v>0</v>
      </c>
      <c r="L14" s="417">
        <v>0</v>
      </c>
      <c r="M14" s="417">
        <v>0</v>
      </c>
      <c r="N14" s="4">
        <v>0</v>
      </c>
      <c r="O14" s="35" t="s">
        <v>95</v>
      </c>
      <c r="P14" s="35" t="s">
        <v>96</v>
      </c>
      <c r="Q14" s="36" t="s">
        <v>97</v>
      </c>
      <c r="R14" s="37" t="s">
        <v>37</v>
      </c>
      <c r="S14" s="38" t="s">
        <v>98</v>
      </c>
      <c r="T14" s="35" t="s">
        <v>46</v>
      </c>
      <c r="U14" s="10">
        <v>1.109</v>
      </c>
      <c r="V14" s="10">
        <v>1.0269999999999999</v>
      </c>
      <c r="W14" s="11">
        <v>0.25</v>
      </c>
      <c r="X14" s="11">
        <v>0.75</v>
      </c>
      <c r="Y14" s="11">
        <f t="shared" si="0"/>
        <v>1.0474999999999999</v>
      </c>
      <c r="Z14" s="11" t="s">
        <v>33</v>
      </c>
      <c r="AA14" s="11" t="s">
        <v>33</v>
      </c>
      <c r="AC14" s="39" t="s">
        <v>92</v>
      </c>
      <c r="AD14" s="26" t="s">
        <v>36</v>
      </c>
      <c r="AE14" s="27" t="s">
        <v>37</v>
      </c>
      <c r="AF14" s="28" t="s">
        <v>93</v>
      </c>
      <c r="AG14" s="29" t="s">
        <v>94</v>
      </c>
      <c r="AH14" s="26" t="s">
        <v>32</v>
      </c>
      <c r="AI14" s="30">
        <v>1</v>
      </c>
      <c r="AJ14" s="30" t="s">
        <v>34</v>
      </c>
      <c r="AK14" s="31">
        <v>312</v>
      </c>
      <c r="AM14" s="39" t="s">
        <v>99</v>
      </c>
      <c r="AN14" s="27" t="s">
        <v>37</v>
      </c>
      <c r="AO14" s="28" t="s">
        <v>93</v>
      </c>
      <c r="AP14" s="29" t="s">
        <v>94</v>
      </c>
      <c r="AQ14" s="26" t="s">
        <v>32</v>
      </c>
      <c r="AR14" s="32">
        <v>3049126.88</v>
      </c>
      <c r="AV14" s="404" t="s">
        <v>961</v>
      </c>
      <c r="AW14" s="405">
        <v>39697</v>
      </c>
      <c r="AX14" s="405">
        <v>35727.300000000003</v>
      </c>
      <c r="AY14" s="405">
        <v>171489</v>
      </c>
      <c r="AZ14" s="406">
        <v>154340.1</v>
      </c>
      <c r="BA14" s="26" t="s">
        <v>253</v>
      </c>
      <c r="BB14" s="27" t="s">
        <v>254</v>
      </c>
      <c r="BC14" s="28" t="s">
        <v>24</v>
      </c>
      <c r="BD14" s="29" t="s">
        <v>496</v>
      </c>
    </row>
    <row r="15" spans="1:56" ht="14.4">
      <c r="A15" s="24" t="s">
        <v>100</v>
      </c>
      <c r="B15" s="17" t="s">
        <v>36</v>
      </c>
      <c r="C15" s="18" t="s">
        <v>37</v>
      </c>
      <c r="D15" s="19" t="s">
        <v>30</v>
      </c>
      <c r="E15" s="20" t="s">
        <v>101</v>
      </c>
      <c r="F15" s="21" t="s">
        <v>32</v>
      </c>
      <c r="K15" s="412">
        <f t="shared" si="1"/>
        <v>0</v>
      </c>
      <c r="L15" s="417">
        <v>0</v>
      </c>
      <c r="M15" s="417">
        <v>0</v>
      </c>
      <c r="N15" s="4">
        <v>0</v>
      </c>
      <c r="O15" s="24" t="s">
        <v>59</v>
      </c>
      <c r="P15" s="17" t="s">
        <v>36</v>
      </c>
      <c r="Q15" s="18" t="s">
        <v>37</v>
      </c>
      <c r="R15" s="19" t="s">
        <v>60</v>
      </c>
      <c r="S15" s="20" t="s">
        <v>61</v>
      </c>
      <c r="T15" s="21" t="s">
        <v>32</v>
      </c>
      <c r="U15" s="10">
        <v>1.0649999999999999</v>
      </c>
      <c r="V15" s="10">
        <v>1.0740000000000001</v>
      </c>
      <c r="W15" s="11">
        <v>0.25</v>
      </c>
      <c r="X15" s="11">
        <v>0.75</v>
      </c>
      <c r="Y15" s="11">
        <f t="shared" si="0"/>
        <v>1.0717500000000002</v>
      </c>
      <c r="Z15" s="11" t="s">
        <v>33</v>
      </c>
      <c r="AA15" s="11" t="s">
        <v>33</v>
      </c>
      <c r="AC15" s="39" t="s">
        <v>100</v>
      </c>
      <c r="AD15" s="26" t="s">
        <v>36</v>
      </c>
      <c r="AE15" s="27" t="s">
        <v>37</v>
      </c>
      <c r="AF15" s="28" t="s">
        <v>30</v>
      </c>
      <c r="AG15" s="29" t="s">
        <v>101</v>
      </c>
      <c r="AH15" s="26" t="s">
        <v>32</v>
      </c>
      <c r="AI15" s="30">
        <v>2</v>
      </c>
      <c r="AJ15" s="30" t="s">
        <v>34</v>
      </c>
      <c r="AK15" s="31">
        <v>372</v>
      </c>
      <c r="AM15" s="39" t="s">
        <v>102</v>
      </c>
      <c r="AN15" s="27" t="s">
        <v>37</v>
      </c>
      <c r="AO15" s="28" t="s">
        <v>30</v>
      </c>
      <c r="AP15" s="29" t="s">
        <v>101</v>
      </c>
      <c r="AQ15" s="26" t="s">
        <v>32</v>
      </c>
      <c r="AR15" s="32">
        <v>3576857.07</v>
      </c>
      <c r="AV15" s="407"/>
      <c r="AW15" s="408"/>
      <c r="AX15" s="405"/>
      <c r="AY15" s="405"/>
      <c r="AZ15" s="406"/>
    </row>
    <row r="16" spans="1:56" ht="14.4">
      <c r="A16" s="24" t="s">
        <v>103</v>
      </c>
      <c r="B16" s="17" t="s">
        <v>36</v>
      </c>
      <c r="C16" s="18" t="s">
        <v>37</v>
      </c>
      <c r="D16" s="19" t="s">
        <v>104</v>
      </c>
      <c r="E16" s="20" t="s">
        <v>105</v>
      </c>
      <c r="F16" s="21" t="s">
        <v>32</v>
      </c>
      <c r="K16" s="412">
        <f t="shared" si="1"/>
        <v>0</v>
      </c>
      <c r="L16" s="417">
        <v>0</v>
      </c>
      <c r="M16" s="417">
        <v>162.5</v>
      </c>
      <c r="N16" s="4">
        <v>0</v>
      </c>
      <c r="O16" s="35" t="s">
        <v>106</v>
      </c>
      <c r="P16" s="35" t="s">
        <v>107</v>
      </c>
      <c r="Q16" s="36" t="s">
        <v>108</v>
      </c>
      <c r="R16" s="37" t="s">
        <v>37</v>
      </c>
      <c r="S16" s="38" t="s">
        <v>109</v>
      </c>
      <c r="T16" s="35" t="s">
        <v>46</v>
      </c>
      <c r="U16" s="10">
        <v>1.091</v>
      </c>
      <c r="V16" s="10">
        <v>1.1240000000000001</v>
      </c>
      <c r="W16" s="11">
        <v>0.25</v>
      </c>
      <c r="X16" s="11">
        <v>0.75</v>
      </c>
      <c r="Y16" s="11">
        <f t="shared" si="0"/>
        <v>1.11575</v>
      </c>
      <c r="Z16" s="11" t="s">
        <v>33</v>
      </c>
      <c r="AA16" s="11" t="s">
        <v>33</v>
      </c>
      <c r="AC16" s="39" t="s">
        <v>103</v>
      </c>
      <c r="AD16" s="26" t="s">
        <v>36</v>
      </c>
      <c r="AE16" s="27" t="s">
        <v>37</v>
      </c>
      <c r="AF16" s="28" t="s">
        <v>104</v>
      </c>
      <c r="AG16" s="29" t="s">
        <v>105</v>
      </c>
      <c r="AH16" s="26" t="s">
        <v>32</v>
      </c>
      <c r="AI16" s="30">
        <v>0</v>
      </c>
      <c r="AJ16" s="30" t="s">
        <v>34</v>
      </c>
      <c r="AK16" s="31">
        <v>280</v>
      </c>
      <c r="AM16" s="39" t="s">
        <v>110</v>
      </c>
      <c r="AN16" s="27" t="s">
        <v>37</v>
      </c>
      <c r="AO16" s="28" t="s">
        <v>104</v>
      </c>
      <c r="AP16" s="29" t="s">
        <v>105</v>
      </c>
      <c r="AQ16" s="26" t="s">
        <v>32</v>
      </c>
      <c r="AR16" s="32">
        <v>3382477.14</v>
      </c>
      <c r="AV16" s="407" t="s">
        <v>962</v>
      </c>
      <c r="AW16" s="408">
        <v>26198</v>
      </c>
      <c r="AX16" s="405">
        <v>23578.2</v>
      </c>
      <c r="AY16" s="405">
        <v>23221</v>
      </c>
      <c r="AZ16" s="406">
        <v>20898.900000000001</v>
      </c>
      <c r="BA16" s="26" t="s">
        <v>522</v>
      </c>
      <c r="BB16" s="27" t="s">
        <v>523</v>
      </c>
      <c r="BC16" s="28" t="s">
        <v>24</v>
      </c>
      <c r="BD16" s="29" t="s">
        <v>524</v>
      </c>
    </row>
    <row r="17" spans="1:52" ht="14.4">
      <c r="A17" s="24" t="s">
        <v>111</v>
      </c>
      <c r="B17" s="17" t="s">
        <v>36</v>
      </c>
      <c r="C17" s="18" t="s">
        <v>37</v>
      </c>
      <c r="D17" s="19" t="s">
        <v>112</v>
      </c>
      <c r="E17" s="20" t="s">
        <v>113</v>
      </c>
      <c r="F17" s="21" t="s">
        <v>32</v>
      </c>
      <c r="K17" s="412">
        <f t="shared" si="1"/>
        <v>0</v>
      </c>
      <c r="L17" s="417">
        <v>0</v>
      </c>
      <c r="M17" s="417">
        <v>0</v>
      </c>
      <c r="N17" s="4">
        <v>0</v>
      </c>
      <c r="O17" s="35" t="s">
        <v>114</v>
      </c>
      <c r="P17" s="35" t="s">
        <v>36</v>
      </c>
      <c r="Q17" s="36" t="s">
        <v>115</v>
      </c>
      <c r="R17" s="37" t="s">
        <v>37</v>
      </c>
      <c r="S17" s="38" t="s">
        <v>116</v>
      </c>
      <c r="T17" s="35" t="s">
        <v>46</v>
      </c>
      <c r="U17" s="10" t="s">
        <v>42</v>
      </c>
      <c r="V17" s="10">
        <v>1.0149999999999999</v>
      </c>
      <c r="W17" s="11">
        <v>0.25</v>
      </c>
      <c r="X17" s="11">
        <v>0.75</v>
      </c>
      <c r="Y17" s="11">
        <f t="shared" si="0"/>
        <v>1.01125</v>
      </c>
      <c r="Z17" s="11" t="s">
        <v>33</v>
      </c>
      <c r="AA17" s="11" t="s">
        <v>33</v>
      </c>
      <c r="AC17" s="39" t="s">
        <v>111</v>
      </c>
      <c r="AD17" s="26" t="s">
        <v>36</v>
      </c>
      <c r="AE17" s="27" t="s">
        <v>37</v>
      </c>
      <c r="AF17" s="28" t="s">
        <v>112</v>
      </c>
      <c r="AG17" s="29" t="s">
        <v>113</v>
      </c>
      <c r="AH17" s="26" t="s">
        <v>32</v>
      </c>
      <c r="AI17" s="30">
        <v>0</v>
      </c>
      <c r="AJ17" s="30" t="s">
        <v>34</v>
      </c>
      <c r="AK17" s="31">
        <v>149</v>
      </c>
      <c r="AM17" s="39" t="s">
        <v>117</v>
      </c>
      <c r="AN17" s="27" t="s">
        <v>37</v>
      </c>
      <c r="AO17" s="28" t="s">
        <v>112</v>
      </c>
      <c r="AP17" s="29" t="s">
        <v>113</v>
      </c>
      <c r="AQ17" s="26" t="s">
        <v>32</v>
      </c>
      <c r="AR17" s="32">
        <v>1976432.3</v>
      </c>
      <c r="AV17" s="407"/>
      <c r="AW17" s="405"/>
      <c r="AX17" s="405"/>
      <c r="AY17" s="405"/>
      <c r="AZ17" s="406"/>
    </row>
    <row r="18" spans="1:52" ht="15" thickBot="1">
      <c r="A18" s="24" t="s">
        <v>118</v>
      </c>
      <c r="B18" s="17" t="s">
        <v>36</v>
      </c>
      <c r="C18" s="18" t="s">
        <v>37</v>
      </c>
      <c r="D18" s="19" t="s">
        <v>119</v>
      </c>
      <c r="E18" s="20" t="s">
        <v>120</v>
      </c>
      <c r="F18" s="21" t="s">
        <v>32</v>
      </c>
      <c r="K18" s="412">
        <f t="shared" si="1"/>
        <v>0</v>
      </c>
      <c r="L18" s="417">
        <v>0</v>
      </c>
      <c r="M18" s="417">
        <v>0</v>
      </c>
      <c r="N18" s="4">
        <v>0</v>
      </c>
      <c r="O18" s="35" t="s">
        <v>121</v>
      </c>
      <c r="P18" s="35" t="s">
        <v>36</v>
      </c>
      <c r="Q18" s="36" t="s">
        <v>122</v>
      </c>
      <c r="R18" s="37" t="s">
        <v>37</v>
      </c>
      <c r="S18" s="38" t="s">
        <v>123</v>
      </c>
      <c r="T18" s="35" t="s">
        <v>46</v>
      </c>
      <c r="U18" s="10">
        <v>1.0920000000000001</v>
      </c>
      <c r="V18" s="10">
        <v>1.1180000000000001</v>
      </c>
      <c r="W18" s="11">
        <v>0.25</v>
      </c>
      <c r="X18" s="11">
        <v>0.75</v>
      </c>
      <c r="Y18" s="11">
        <f t="shared" si="0"/>
        <v>1.1114999999999999</v>
      </c>
      <c r="Z18" s="11" t="s">
        <v>33</v>
      </c>
      <c r="AA18" s="11" t="s">
        <v>33</v>
      </c>
      <c r="AC18" s="39" t="s">
        <v>118</v>
      </c>
      <c r="AD18" s="26" t="s">
        <v>36</v>
      </c>
      <c r="AE18" s="27" t="s">
        <v>37</v>
      </c>
      <c r="AF18" s="28" t="s">
        <v>119</v>
      </c>
      <c r="AG18" s="29" t="s">
        <v>120</v>
      </c>
      <c r="AH18" s="26" t="s">
        <v>32</v>
      </c>
      <c r="AI18" s="30">
        <v>0</v>
      </c>
      <c r="AJ18" s="30" t="s">
        <v>34</v>
      </c>
      <c r="AK18" s="31">
        <v>158</v>
      </c>
      <c r="AM18" s="39" t="s">
        <v>124</v>
      </c>
      <c r="AN18" s="27" t="s">
        <v>37</v>
      </c>
      <c r="AO18" s="28" t="s">
        <v>119</v>
      </c>
      <c r="AP18" s="29" t="s">
        <v>120</v>
      </c>
      <c r="AQ18" s="26" t="s">
        <v>32</v>
      </c>
      <c r="AR18" s="32">
        <v>1993530.56</v>
      </c>
      <c r="AV18" s="409" t="s">
        <v>788</v>
      </c>
      <c r="AW18" s="410">
        <v>335114.3</v>
      </c>
      <c r="AX18" s="410">
        <v>301602.87</v>
      </c>
      <c r="AY18" s="410">
        <v>319142.18888888886</v>
      </c>
      <c r="AZ18" s="411">
        <v>287227.96999999997</v>
      </c>
    </row>
    <row r="19" spans="1:52" ht="14.4">
      <c r="A19" s="24" t="s">
        <v>125</v>
      </c>
      <c r="B19" s="17" t="s">
        <v>36</v>
      </c>
      <c r="C19" s="18" t="s">
        <v>37</v>
      </c>
      <c r="D19" s="19" t="s">
        <v>126</v>
      </c>
      <c r="E19" s="20" t="s">
        <v>127</v>
      </c>
      <c r="F19" s="21" t="s">
        <v>32</v>
      </c>
      <c r="K19" s="412">
        <f t="shared" si="1"/>
        <v>0</v>
      </c>
      <c r="L19" s="417">
        <v>0</v>
      </c>
      <c r="M19" s="417">
        <v>0</v>
      </c>
      <c r="N19" s="4">
        <v>0</v>
      </c>
      <c r="O19" s="24" t="s">
        <v>128</v>
      </c>
      <c r="P19" s="17" t="s">
        <v>129</v>
      </c>
      <c r="Q19" s="18" t="s">
        <v>130</v>
      </c>
      <c r="R19" s="19" t="s">
        <v>131</v>
      </c>
      <c r="S19" s="20" t="s">
        <v>132</v>
      </c>
      <c r="T19" s="21" t="s">
        <v>32</v>
      </c>
      <c r="U19" s="10">
        <v>1.113</v>
      </c>
      <c r="V19" s="10">
        <v>1.1060000000000001</v>
      </c>
      <c r="W19" s="11">
        <v>0.25</v>
      </c>
      <c r="X19" s="11">
        <v>0.75</v>
      </c>
      <c r="Y19" s="11">
        <f t="shared" si="0"/>
        <v>1.1077500000000002</v>
      </c>
      <c r="Z19" s="11" t="s">
        <v>33</v>
      </c>
      <c r="AA19" s="11" t="s">
        <v>33</v>
      </c>
      <c r="AC19" s="39" t="s">
        <v>125</v>
      </c>
      <c r="AD19" s="26" t="s">
        <v>36</v>
      </c>
      <c r="AE19" s="27" t="s">
        <v>37</v>
      </c>
      <c r="AF19" s="28" t="s">
        <v>126</v>
      </c>
      <c r="AG19" s="29" t="s">
        <v>127</v>
      </c>
      <c r="AH19" s="26" t="s">
        <v>32</v>
      </c>
      <c r="AI19" s="30">
        <v>0</v>
      </c>
      <c r="AJ19" s="30" t="s">
        <v>34</v>
      </c>
      <c r="AK19" s="31">
        <v>181</v>
      </c>
      <c r="AM19" s="39" t="s">
        <v>133</v>
      </c>
      <c r="AN19" s="27" t="s">
        <v>37</v>
      </c>
      <c r="AO19" s="28" t="s">
        <v>126</v>
      </c>
      <c r="AP19" s="29" t="s">
        <v>127</v>
      </c>
      <c r="AQ19" s="26" t="s">
        <v>32</v>
      </c>
      <c r="AR19" s="32">
        <v>2284667.66</v>
      </c>
    </row>
    <row r="20" spans="1:52" ht="14.4">
      <c r="A20" s="24" t="s">
        <v>134</v>
      </c>
      <c r="B20" s="17" t="s">
        <v>36</v>
      </c>
      <c r="C20" s="18" t="s">
        <v>37</v>
      </c>
      <c r="D20" s="19" t="s">
        <v>135</v>
      </c>
      <c r="E20" s="20" t="s">
        <v>136</v>
      </c>
      <c r="F20" s="21" t="s">
        <v>32</v>
      </c>
      <c r="K20" s="412">
        <f t="shared" si="1"/>
        <v>0</v>
      </c>
      <c r="L20" s="417">
        <v>0</v>
      </c>
      <c r="M20" s="417">
        <v>194</v>
      </c>
      <c r="N20" s="4">
        <v>0</v>
      </c>
      <c r="O20" s="16" t="s">
        <v>137</v>
      </c>
      <c r="P20" s="17" t="s">
        <v>137</v>
      </c>
      <c r="Q20" s="18" t="s">
        <v>119</v>
      </c>
      <c r="R20" s="19" t="s">
        <v>24</v>
      </c>
      <c r="S20" s="20" t="s">
        <v>138</v>
      </c>
      <c r="T20" s="21" t="s">
        <v>26</v>
      </c>
      <c r="U20" s="10">
        <v>1.0409999999999999</v>
      </c>
      <c r="V20" s="10">
        <v>1.034</v>
      </c>
      <c r="W20" s="11">
        <v>0.25</v>
      </c>
      <c r="X20" s="11">
        <v>0.75</v>
      </c>
      <c r="Y20" s="11">
        <f t="shared" si="0"/>
        <v>1.0357500000000002</v>
      </c>
      <c r="Z20" s="11" t="s">
        <v>33</v>
      </c>
      <c r="AA20" s="11" t="s">
        <v>33</v>
      </c>
      <c r="AC20" s="39" t="s">
        <v>134</v>
      </c>
      <c r="AD20" s="26" t="s">
        <v>36</v>
      </c>
      <c r="AE20" s="27" t="s">
        <v>37</v>
      </c>
      <c r="AF20" s="28" t="s">
        <v>135</v>
      </c>
      <c r="AG20" s="29" t="s">
        <v>136</v>
      </c>
      <c r="AH20" s="26" t="s">
        <v>32</v>
      </c>
      <c r="AI20" s="30">
        <v>2</v>
      </c>
      <c r="AJ20" s="30" t="s">
        <v>34</v>
      </c>
      <c r="AK20" s="31">
        <v>302</v>
      </c>
      <c r="AM20" s="39" t="s">
        <v>139</v>
      </c>
      <c r="AN20" s="27" t="s">
        <v>37</v>
      </c>
      <c r="AO20" s="28" t="s">
        <v>135</v>
      </c>
      <c r="AP20" s="29" t="s">
        <v>136</v>
      </c>
      <c r="AQ20" s="26" t="s">
        <v>32</v>
      </c>
      <c r="AR20" s="32">
        <v>3198216.6</v>
      </c>
    </row>
    <row r="21" spans="1:52" ht="14.4">
      <c r="A21" s="24" t="s">
        <v>140</v>
      </c>
      <c r="B21" s="17" t="s">
        <v>36</v>
      </c>
      <c r="C21" s="18" t="s">
        <v>37</v>
      </c>
      <c r="D21" s="19" t="s">
        <v>141</v>
      </c>
      <c r="E21" s="20" t="s">
        <v>142</v>
      </c>
      <c r="F21" s="21" t="s">
        <v>32</v>
      </c>
      <c r="K21" s="412">
        <f t="shared" si="1"/>
        <v>0</v>
      </c>
      <c r="L21" s="417">
        <v>0</v>
      </c>
      <c r="M21" s="417">
        <v>6</v>
      </c>
      <c r="N21" s="4">
        <v>0</v>
      </c>
      <c r="O21" s="17" t="s">
        <v>143</v>
      </c>
      <c r="P21" s="17" t="s">
        <v>143</v>
      </c>
      <c r="Q21" s="18" t="s">
        <v>144</v>
      </c>
      <c r="R21" s="19" t="s">
        <v>24</v>
      </c>
      <c r="S21" s="20" t="s">
        <v>145</v>
      </c>
      <c r="T21" s="21" t="s">
        <v>26</v>
      </c>
      <c r="U21" s="10">
        <v>1.0960000000000001</v>
      </c>
      <c r="V21" s="10">
        <v>1.0880000000000001</v>
      </c>
      <c r="W21" s="11">
        <v>0.25</v>
      </c>
      <c r="X21" s="11">
        <v>0.75</v>
      </c>
      <c r="Y21" s="11">
        <f t="shared" si="0"/>
        <v>1.0900000000000001</v>
      </c>
      <c r="Z21" s="11" t="s">
        <v>33</v>
      </c>
      <c r="AA21" s="11" t="s">
        <v>33</v>
      </c>
      <c r="AC21" s="39" t="s">
        <v>140</v>
      </c>
      <c r="AD21" s="26" t="s">
        <v>36</v>
      </c>
      <c r="AE21" s="27" t="s">
        <v>37</v>
      </c>
      <c r="AF21" s="28" t="s">
        <v>141</v>
      </c>
      <c r="AG21" s="29" t="s">
        <v>142</v>
      </c>
      <c r="AH21" s="26" t="s">
        <v>32</v>
      </c>
      <c r="AI21" s="30">
        <v>0</v>
      </c>
      <c r="AJ21" s="30" t="s">
        <v>34</v>
      </c>
      <c r="AK21" s="31">
        <v>242</v>
      </c>
      <c r="AM21" s="39" t="s">
        <v>140</v>
      </c>
      <c r="AN21" s="27" t="s">
        <v>37</v>
      </c>
      <c r="AO21" s="28" t="s">
        <v>141</v>
      </c>
      <c r="AP21" s="29" t="s">
        <v>142</v>
      </c>
      <c r="AQ21" s="26" t="s">
        <v>32</v>
      </c>
      <c r="AR21" s="32">
        <v>2686809.73</v>
      </c>
    </row>
    <row r="22" spans="1:52" ht="14.4">
      <c r="A22" s="24" t="s">
        <v>146</v>
      </c>
      <c r="B22" s="17" t="s">
        <v>36</v>
      </c>
      <c r="C22" s="18" t="s">
        <v>37</v>
      </c>
      <c r="D22" s="19" t="s">
        <v>147</v>
      </c>
      <c r="E22" s="20" t="s">
        <v>148</v>
      </c>
      <c r="F22" s="21" t="s">
        <v>32</v>
      </c>
      <c r="K22" s="412">
        <f t="shared" si="1"/>
        <v>0</v>
      </c>
      <c r="L22" s="417">
        <v>0</v>
      </c>
      <c r="M22" s="417">
        <v>0</v>
      </c>
      <c r="N22" s="4">
        <v>0</v>
      </c>
      <c r="O22" s="35" t="s">
        <v>149</v>
      </c>
      <c r="P22" s="35" t="s">
        <v>150</v>
      </c>
      <c r="Q22" s="36" t="s">
        <v>151</v>
      </c>
      <c r="R22" s="37" t="s">
        <v>37</v>
      </c>
      <c r="S22" s="38" t="s">
        <v>152</v>
      </c>
      <c r="T22" s="35" t="s">
        <v>46</v>
      </c>
      <c r="U22" s="10">
        <v>1.113</v>
      </c>
      <c r="V22" s="10">
        <v>1.0760000000000001</v>
      </c>
      <c r="W22" s="11">
        <v>0.25</v>
      </c>
      <c r="X22" s="11">
        <v>0.75</v>
      </c>
      <c r="Y22" s="11">
        <f t="shared" si="0"/>
        <v>1.08525</v>
      </c>
      <c r="Z22" s="11" t="s">
        <v>33</v>
      </c>
      <c r="AA22" s="11" t="s">
        <v>33</v>
      </c>
      <c r="AC22" s="39" t="s">
        <v>146</v>
      </c>
      <c r="AD22" s="26" t="s">
        <v>36</v>
      </c>
      <c r="AE22" s="27" t="s">
        <v>37</v>
      </c>
      <c r="AF22" s="28" t="s">
        <v>147</v>
      </c>
      <c r="AG22" s="29" t="s">
        <v>148</v>
      </c>
      <c r="AH22" s="26" t="s">
        <v>32</v>
      </c>
      <c r="AI22" s="30">
        <v>0</v>
      </c>
      <c r="AJ22" s="30" t="s">
        <v>34</v>
      </c>
      <c r="AK22" s="31">
        <v>133</v>
      </c>
      <c r="AM22" s="39" t="s">
        <v>153</v>
      </c>
      <c r="AN22" s="27" t="s">
        <v>37</v>
      </c>
      <c r="AO22" s="28" t="s">
        <v>147</v>
      </c>
      <c r="AP22" s="29" t="s">
        <v>148</v>
      </c>
      <c r="AQ22" s="26" t="s">
        <v>32</v>
      </c>
      <c r="AR22" s="32">
        <v>1924063.51</v>
      </c>
    </row>
    <row r="23" spans="1:52" ht="14.4">
      <c r="A23" s="24" t="s">
        <v>154</v>
      </c>
      <c r="B23" s="17" t="s">
        <v>36</v>
      </c>
      <c r="C23" s="18" t="s">
        <v>37</v>
      </c>
      <c r="D23" s="19" t="s">
        <v>155</v>
      </c>
      <c r="E23" s="20" t="s">
        <v>156</v>
      </c>
      <c r="F23" s="21" t="s">
        <v>32</v>
      </c>
      <c r="K23" s="412">
        <f t="shared" si="1"/>
        <v>0</v>
      </c>
      <c r="L23" s="417">
        <v>0</v>
      </c>
      <c r="M23" s="417">
        <v>0</v>
      </c>
      <c r="N23" s="4">
        <v>0</v>
      </c>
      <c r="O23" s="17" t="s">
        <v>157</v>
      </c>
      <c r="P23" s="17" t="s">
        <v>157</v>
      </c>
      <c r="Q23" s="18" t="s">
        <v>158</v>
      </c>
      <c r="R23" s="19" t="s">
        <v>24</v>
      </c>
      <c r="S23" s="20" t="s">
        <v>159</v>
      </c>
      <c r="T23" s="21" t="s">
        <v>26</v>
      </c>
      <c r="U23" s="10">
        <v>1.081</v>
      </c>
      <c r="V23" s="10">
        <v>1.073</v>
      </c>
      <c r="W23" s="11">
        <v>0.25</v>
      </c>
      <c r="X23" s="11">
        <v>0.75</v>
      </c>
      <c r="Y23" s="11">
        <f t="shared" si="0"/>
        <v>1.075</v>
      </c>
      <c r="Z23" s="11" t="s">
        <v>33</v>
      </c>
      <c r="AA23" s="11" t="s">
        <v>33</v>
      </c>
      <c r="AC23" s="39" t="s">
        <v>154</v>
      </c>
      <c r="AD23" s="26" t="s">
        <v>36</v>
      </c>
      <c r="AE23" s="27" t="s">
        <v>37</v>
      </c>
      <c r="AF23" s="28" t="s">
        <v>155</v>
      </c>
      <c r="AG23" s="29" t="s">
        <v>156</v>
      </c>
      <c r="AH23" s="26" t="s">
        <v>32</v>
      </c>
      <c r="AI23" s="30">
        <v>0</v>
      </c>
      <c r="AJ23" s="30" t="s">
        <v>34</v>
      </c>
      <c r="AK23" s="31">
        <v>216</v>
      </c>
      <c r="AM23" s="39" t="s">
        <v>160</v>
      </c>
      <c r="AN23" s="27" t="s">
        <v>37</v>
      </c>
      <c r="AO23" s="28" t="s">
        <v>161</v>
      </c>
      <c r="AP23" s="29" t="s">
        <v>162</v>
      </c>
      <c r="AQ23" s="26" t="s">
        <v>32</v>
      </c>
      <c r="AR23" s="32">
        <v>2084215.2</v>
      </c>
    </row>
    <row r="24" spans="1:52" ht="14.4">
      <c r="A24" s="24" t="s">
        <v>163</v>
      </c>
      <c r="B24" s="17" t="s">
        <v>36</v>
      </c>
      <c r="C24" s="18" t="s">
        <v>37</v>
      </c>
      <c r="D24" s="19" t="s">
        <v>164</v>
      </c>
      <c r="E24" s="20" t="s">
        <v>165</v>
      </c>
      <c r="F24" s="21" t="s">
        <v>32</v>
      </c>
      <c r="K24" s="412">
        <f t="shared" si="1"/>
        <v>0</v>
      </c>
      <c r="L24" s="417">
        <v>0</v>
      </c>
      <c r="M24" s="417">
        <v>218</v>
      </c>
      <c r="N24" s="4">
        <v>0</v>
      </c>
      <c r="O24" s="17" t="s">
        <v>166</v>
      </c>
      <c r="P24" s="17" t="s">
        <v>166</v>
      </c>
      <c r="Q24" s="18" t="s">
        <v>167</v>
      </c>
      <c r="R24" s="19" t="s">
        <v>24</v>
      </c>
      <c r="S24" s="20" t="s">
        <v>168</v>
      </c>
      <c r="T24" s="21" t="s">
        <v>26</v>
      </c>
      <c r="U24" s="10">
        <v>1.0920000000000001</v>
      </c>
      <c r="V24" s="10">
        <v>1.0900000000000001</v>
      </c>
      <c r="W24" s="11">
        <v>0.25</v>
      </c>
      <c r="X24" s="11">
        <v>0.75</v>
      </c>
      <c r="Y24" s="11">
        <f t="shared" si="0"/>
        <v>1.0905</v>
      </c>
      <c r="Z24" s="11" t="s">
        <v>33</v>
      </c>
      <c r="AA24" s="11" t="s">
        <v>33</v>
      </c>
      <c r="AC24" s="39" t="s">
        <v>163</v>
      </c>
      <c r="AD24" s="26" t="s">
        <v>36</v>
      </c>
      <c r="AE24" s="27" t="s">
        <v>37</v>
      </c>
      <c r="AF24" s="28" t="s">
        <v>164</v>
      </c>
      <c r="AG24" s="29" t="s">
        <v>165</v>
      </c>
      <c r="AH24" s="26" t="s">
        <v>32</v>
      </c>
      <c r="AI24" s="30">
        <v>0</v>
      </c>
      <c r="AJ24" s="30" t="s">
        <v>34</v>
      </c>
      <c r="AK24" s="31">
        <v>197</v>
      </c>
      <c r="AM24" s="39" t="s">
        <v>154</v>
      </c>
      <c r="AN24" s="27" t="s">
        <v>37</v>
      </c>
      <c r="AO24" s="28" t="s">
        <v>155</v>
      </c>
      <c r="AP24" s="29" t="s">
        <v>156</v>
      </c>
      <c r="AQ24" s="26" t="s">
        <v>32</v>
      </c>
      <c r="AR24" s="32">
        <v>2030124.35</v>
      </c>
    </row>
    <row r="25" spans="1:52" ht="14.4">
      <c r="A25" s="24" t="s">
        <v>169</v>
      </c>
      <c r="B25" s="17" t="s">
        <v>36</v>
      </c>
      <c r="C25" s="18" t="s">
        <v>37</v>
      </c>
      <c r="D25" s="19" t="s">
        <v>131</v>
      </c>
      <c r="E25" s="20" t="s">
        <v>170</v>
      </c>
      <c r="F25" s="21" t="s">
        <v>32</v>
      </c>
      <c r="K25" s="412">
        <f t="shared" si="1"/>
        <v>0</v>
      </c>
      <c r="L25" s="417">
        <v>0</v>
      </c>
      <c r="M25" s="417">
        <v>149.5</v>
      </c>
      <c r="N25" s="4">
        <v>0</v>
      </c>
      <c r="O25" s="17" t="s">
        <v>171</v>
      </c>
      <c r="P25" s="17" t="s">
        <v>171</v>
      </c>
      <c r="Q25" s="18" t="s">
        <v>141</v>
      </c>
      <c r="R25" s="19" t="s">
        <v>24</v>
      </c>
      <c r="S25" s="20" t="s">
        <v>172</v>
      </c>
      <c r="T25" s="21" t="s">
        <v>26</v>
      </c>
      <c r="U25" s="10">
        <v>1.101</v>
      </c>
      <c r="V25" s="10">
        <v>1.087</v>
      </c>
      <c r="W25" s="11">
        <v>0.25</v>
      </c>
      <c r="X25" s="11">
        <v>0.75</v>
      </c>
      <c r="Y25" s="11">
        <f t="shared" si="0"/>
        <v>1.0905</v>
      </c>
      <c r="Z25" s="11" t="s">
        <v>33</v>
      </c>
      <c r="AA25" s="11" t="s">
        <v>33</v>
      </c>
      <c r="AC25" s="39" t="s">
        <v>169</v>
      </c>
      <c r="AD25" s="26" t="s">
        <v>36</v>
      </c>
      <c r="AE25" s="27" t="s">
        <v>37</v>
      </c>
      <c r="AF25" s="28" t="s">
        <v>131</v>
      </c>
      <c r="AG25" s="29" t="s">
        <v>170</v>
      </c>
      <c r="AH25" s="26" t="s">
        <v>32</v>
      </c>
      <c r="AI25" s="30">
        <v>0</v>
      </c>
      <c r="AJ25" s="30" t="s">
        <v>34</v>
      </c>
      <c r="AK25" s="31">
        <v>499</v>
      </c>
      <c r="AM25" s="39" t="s">
        <v>173</v>
      </c>
      <c r="AN25" s="27" t="s">
        <v>37</v>
      </c>
      <c r="AO25" s="28" t="s">
        <v>164</v>
      </c>
      <c r="AP25" s="29" t="s">
        <v>165</v>
      </c>
      <c r="AQ25" s="26" t="s">
        <v>32</v>
      </c>
      <c r="AR25" s="32">
        <v>2055561.01</v>
      </c>
    </row>
    <row r="26" spans="1:52" ht="14.4">
      <c r="A26" s="24" t="s">
        <v>174</v>
      </c>
      <c r="B26" s="17" t="s">
        <v>36</v>
      </c>
      <c r="C26" s="18" t="s">
        <v>37</v>
      </c>
      <c r="D26" s="19" t="s">
        <v>175</v>
      </c>
      <c r="E26" s="20" t="s">
        <v>176</v>
      </c>
      <c r="F26" s="21" t="s">
        <v>32</v>
      </c>
      <c r="K26" s="412">
        <f t="shared" si="1"/>
        <v>0</v>
      </c>
      <c r="L26" s="417">
        <v>0</v>
      </c>
      <c r="M26" s="417">
        <v>179</v>
      </c>
      <c r="N26" s="4">
        <v>0</v>
      </c>
      <c r="O26" s="17" t="s">
        <v>177</v>
      </c>
      <c r="P26" s="17" t="s">
        <v>177</v>
      </c>
      <c r="Q26" s="18" t="s">
        <v>178</v>
      </c>
      <c r="R26" s="19" t="s">
        <v>24</v>
      </c>
      <c r="S26" s="20" t="s">
        <v>179</v>
      </c>
      <c r="T26" s="21" t="s">
        <v>26</v>
      </c>
      <c r="U26" s="10">
        <v>1.069</v>
      </c>
      <c r="V26" s="10">
        <v>1.044</v>
      </c>
      <c r="W26" s="11">
        <v>0.25</v>
      </c>
      <c r="X26" s="11">
        <v>0.75</v>
      </c>
      <c r="Y26" s="11">
        <f t="shared" si="0"/>
        <v>1.0502500000000001</v>
      </c>
      <c r="Z26" s="11" t="s">
        <v>33</v>
      </c>
      <c r="AA26" s="11" t="s">
        <v>33</v>
      </c>
      <c r="AC26" s="39" t="s">
        <v>174</v>
      </c>
      <c r="AD26" s="26" t="s">
        <v>36</v>
      </c>
      <c r="AE26" s="27" t="s">
        <v>37</v>
      </c>
      <c r="AF26" s="28" t="s">
        <v>175</v>
      </c>
      <c r="AG26" s="29" t="s">
        <v>176</v>
      </c>
      <c r="AH26" s="26" t="s">
        <v>32</v>
      </c>
      <c r="AI26" s="30">
        <v>0</v>
      </c>
      <c r="AJ26" s="30" t="s">
        <v>34</v>
      </c>
      <c r="AK26" s="31">
        <v>213</v>
      </c>
      <c r="AM26" s="39" t="s">
        <v>180</v>
      </c>
      <c r="AN26" s="27" t="s">
        <v>37</v>
      </c>
      <c r="AO26" s="28" t="s">
        <v>131</v>
      </c>
      <c r="AP26" s="29" t="s">
        <v>170</v>
      </c>
      <c r="AQ26" s="26" t="s">
        <v>32</v>
      </c>
      <c r="AR26" s="32">
        <v>4239125.55</v>
      </c>
    </row>
    <row r="27" spans="1:52" ht="14.4">
      <c r="A27" s="24" t="s">
        <v>181</v>
      </c>
      <c r="B27" s="17" t="s">
        <v>36</v>
      </c>
      <c r="C27" s="18" t="s">
        <v>37</v>
      </c>
      <c r="D27" s="19" t="s">
        <v>182</v>
      </c>
      <c r="E27" s="20" t="s">
        <v>183</v>
      </c>
      <c r="F27" s="21" t="s">
        <v>32</v>
      </c>
      <c r="K27" s="412">
        <f t="shared" si="1"/>
        <v>0</v>
      </c>
      <c r="L27" s="417">
        <v>0</v>
      </c>
      <c r="M27" s="417">
        <v>0</v>
      </c>
      <c r="N27" s="4">
        <v>0</v>
      </c>
      <c r="O27" s="17" t="s">
        <v>184</v>
      </c>
      <c r="P27" s="17" t="s">
        <v>184</v>
      </c>
      <c r="Q27" s="18" t="s">
        <v>185</v>
      </c>
      <c r="R27" s="19" t="s">
        <v>24</v>
      </c>
      <c r="S27" s="20" t="s">
        <v>186</v>
      </c>
      <c r="T27" s="21" t="s">
        <v>26</v>
      </c>
      <c r="U27" s="10">
        <v>1.097</v>
      </c>
      <c r="V27" s="10">
        <v>1.0860000000000001</v>
      </c>
      <c r="W27" s="11">
        <v>0.25</v>
      </c>
      <c r="X27" s="11">
        <v>0.75</v>
      </c>
      <c r="Y27" s="11">
        <f t="shared" si="0"/>
        <v>1.0887500000000001</v>
      </c>
      <c r="Z27" s="11" t="s">
        <v>33</v>
      </c>
      <c r="AA27" s="11" t="s">
        <v>33</v>
      </c>
      <c r="AC27" s="39" t="s">
        <v>181</v>
      </c>
      <c r="AD27" s="26" t="s">
        <v>36</v>
      </c>
      <c r="AE27" s="27" t="s">
        <v>37</v>
      </c>
      <c r="AF27" s="28" t="s">
        <v>182</v>
      </c>
      <c r="AG27" s="29" t="s">
        <v>183</v>
      </c>
      <c r="AH27" s="26" t="s">
        <v>32</v>
      </c>
      <c r="AI27" s="30">
        <v>1</v>
      </c>
      <c r="AJ27" s="30" t="s">
        <v>34</v>
      </c>
      <c r="AK27" s="31">
        <v>389</v>
      </c>
      <c r="AM27" s="39" t="s">
        <v>187</v>
      </c>
      <c r="AN27" s="27" t="s">
        <v>37</v>
      </c>
      <c r="AO27" s="28" t="s">
        <v>175</v>
      </c>
      <c r="AP27" s="29" t="s">
        <v>176</v>
      </c>
      <c r="AQ27" s="26" t="s">
        <v>32</v>
      </c>
      <c r="AR27" s="32">
        <v>2335953.36</v>
      </c>
    </row>
    <row r="28" spans="1:52" ht="14.4">
      <c r="A28" s="24" t="s">
        <v>188</v>
      </c>
      <c r="B28" s="17" t="s">
        <v>36</v>
      </c>
      <c r="C28" s="18" t="s">
        <v>37</v>
      </c>
      <c r="D28" s="19" t="s">
        <v>161</v>
      </c>
      <c r="E28" s="20" t="s">
        <v>162</v>
      </c>
      <c r="F28" s="21" t="s">
        <v>32</v>
      </c>
      <c r="K28" s="412">
        <f t="shared" si="1"/>
        <v>0</v>
      </c>
      <c r="L28" s="417">
        <v>0</v>
      </c>
      <c r="M28" s="417">
        <v>369.5</v>
      </c>
      <c r="N28" s="4">
        <v>0</v>
      </c>
      <c r="O28" s="17" t="s">
        <v>189</v>
      </c>
      <c r="P28" s="17" t="s">
        <v>189</v>
      </c>
      <c r="Q28" s="18" t="s">
        <v>190</v>
      </c>
      <c r="R28" s="19" t="s">
        <v>24</v>
      </c>
      <c r="S28" s="20" t="s">
        <v>191</v>
      </c>
      <c r="T28" s="21" t="s">
        <v>26</v>
      </c>
      <c r="U28" s="10">
        <v>1.1739999999999999</v>
      </c>
      <c r="V28" s="10">
        <v>1.0760000000000001</v>
      </c>
      <c r="W28" s="11">
        <v>0.25</v>
      </c>
      <c r="X28" s="11">
        <v>0.75</v>
      </c>
      <c r="Y28" s="11">
        <f t="shared" si="0"/>
        <v>1.1005</v>
      </c>
      <c r="Z28" s="11" t="s">
        <v>33</v>
      </c>
      <c r="AA28" s="11" t="s">
        <v>33</v>
      </c>
      <c r="AC28" s="39" t="s">
        <v>188</v>
      </c>
      <c r="AD28" s="26" t="s">
        <v>36</v>
      </c>
      <c r="AE28" s="27" t="s">
        <v>37</v>
      </c>
      <c r="AF28" s="28" t="s">
        <v>161</v>
      </c>
      <c r="AG28" s="29" t="s">
        <v>162</v>
      </c>
      <c r="AH28" s="26" t="s">
        <v>32</v>
      </c>
      <c r="AI28" s="30">
        <v>0</v>
      </c>
      <c r="AJ28" s="30" t="s">
        <v>34</v>
      </c>
      <c r="AK28" s="31">
        <v>179</v>
      </c>
      <c r="AM28" s="39" t="s">
        <v>192</v>
      </c>
      <c r="AN28" s="27" t="s">
        <v>37</v>
      </c>
      <c r="AO28" s="28" t="s">
        <v>182</v>
      </c>
      <c r="AP28" s="29" t="s">
        <v>183</v>
      </c>
      <c r="AQ28" s="26" t="s">
        <v>32</v>
      </c>
      <c r="AR28" s="32">
        <v>3687381.67</v>
      </c>
    </row>
    <row r="29" spans="1:52" ht="14.4">
      <c r="A29" s="24" t="s">
        <v>193</v>
      </c>
      <c r="B29" s="17" t="s">
        <v>36</v>
      </c>
      <c r="C29" s="18" t="s">
        <v>37</v>
      </c>
      <c r="D29" s="19" t="s">
        <v>194</v>
      </c>
      <c r="E29" s="20" t="s">
        <v>195</v>
      </c>
      <c r="F29" s="21" t="s">
        <v>32</v>
      </c>
      <c r="K29" s="412">
        <f t="shared" si="1"/>
        <v>0</v>
      </c>
      <c r="L29" s="417">
        <v>0</v>
      </c>
      <c r="M29" s="417">
        <v>67.5</v>
      </c>
      <c r="N29" s="4">
        <v>0</v>
      </c>
      <c r="O29" s="17" t="s">
        <v>196</v>
      </c>
      <c r="P29" s="17" t="s">
        <v>196</v>
      </c>
      <c r="Q29" s="18" t="s">
        <v>197</v>
      </c>
      <c r="R29" s="19" t="s">
        <v>24</v>
      </c>
      <c r="S29" s="20" t="s">
        <v>198</v>
      </c>
      <c r="T29" s="21" t="s">
        <v>26</v>
      </c>
      <c r="U29" s="10">
        <v>1.056</v>
      </c>
      <c r="V29" s="10">
        <v>1.06</v>
      </c>
      <c r="W29" s="11">
        <v>0.25</v>
      </c>
      <c r="X29" s="11">
        <v>0.75</v>
      </c>
      <c r="Y29" s="11">
        <f t="shared" si="0"/>
        <v>1.0590000000000002</v>
      </c>
      <c r="Z29" s="11" t="s">
        <v>33</v>
      </c>
      <c r="AA29" s="11" t="s">
        <v>33</v>
      </c>
      <c r="AC29" s="39" t="s">
        <v>193</v>
      </c>
      <c r="AD29" s="26" t="s">
        <v>36</v>
      </c>
      <c r="AE29" s="27" t="s">
        <v>37</v>
      </c>
      <c r="AF29" s="28" t="s">
        <v>194</v>
      </c>
      <c r="AG29" s="29" t="s">
        <v>195</v>
      </c>
      <c r="AH29" s="26" t="s">
        <v>32</v>
      </c>
      <c r="AI29" s="30">
        <v>3</v>
      </c>
      <c r="AJ29" s="30" t="s">
        <v>34</v>
      </c>
      <c r="AK29" s="31">
        <v>449</v>
      </c>
      <c r="AM29" s="39" t="s">
        <v>199</v>
      </c>
      <c r="AN29" s="27" t="s">
        <v>37</v>
      </c>
      <c r="AO29" s="28" t="s">
        <v>194</v>
      </c>
      <c r="AP29" s="29" t="s">
        <v>195</v>
      </c>
      <c r="AQ29" s="26" t="s">
        <v>32</v>
      </c>
      <c r="AR29" s="32">
        <v>3500211.75</v>
      </c>
    </row>
    <row r="30" spans="1:52" ht="14.4">
      <c r="A30" s="24" t="s">
        <v>200</v>
      </c>
      <c r="B30" s="17" t="s">
        <v>36</v>
      </c>
      <c r="C30" s="18" t="s">
        <v>37</v>
      </c>
      <c r="D30" s="19" t="s">
        <v>201</v>
      </c>
      <c r="E30" s="20" t="s">
        <v>202</v>
      </c>
      <c r="F30" s="21" t="s">
        <v>32</v>
      </c>
      <c r="K30" s="412">
        <f t="shared" si="1"/>
        <v>0</v>
      </c>
      <c r="L30" s="417">
        <v>0</v>
      </c>
      <c r="M30" s="417">
        <v>18</v>
      </c>
      <c r="N30" s="4">
        <v>0</v>
      </c>
      <c r="O30" s="17" t="s">
        <v>203</v>
      </c>
      <c r="P30" s="17" t="s">
        <v>203</v>
      </c>
      <c r="Q30" s="18" t="s">
        <v>204</v>
      </c>
      <c r="R30" s="19" t="s">
        <v>24</v>
      </c>
      <c r="S30" s="20" t="s">
        <v>205</v>
      </c>
      <c r="T30" s="21" t="s">
        <v>26</v>
      </c>
      <c r="U30" s="10">
        <v>1.0880000000000001</v>
      </c>
      <c r="V30" s="10">
        <v>1.0449999999999999</v>
      </c>
      <c r="W30" s="11">
        <v>0.25</v>
      </c>
      <c r="X30" s="11">
        <v>0.75</v>
      </c>
      <c r="Y30" s="11">
        <f t="shared" si="0"/>
        <v>1.05575</v>
      </c>
      <c r="Z30" s="11" t="s">
        <v>33</v>
      </c>
      <c r="AA30" s="11" t="s">
        <v>33</v>
      </c>
      <c r="AC30" s="39" t="s">
        <v>200</v>
      </c>
      <c r="AD30" s="26" t="s">
        <v>36</v>
      </c>
      <c r="AE30" s="27" t="s">
        <v>37</v>
      </c>
      <c r="AF30" s="28" t="s">
        <v>201</v>
      </c>
      <c r="AG30" s="29" t="s">
        <v>202</v>
      </c>
      <c r="AH30" s="26" t="s">
        <v>32</v>
      </c>
      <c r="AI30" s="30">
        <v>0</v>
      </c>
      <c r="AJ30" s="30" t="s">
        <v>34</v>
      </c>
      <c r="AK30" s="31">
        <v>321</v>
      </c>
      <c r="AM30" s="39" t="s">
        <v>206</v>
      </c>
      <c r="AN30" s="27" t="s">
        <v>37</v>
      </c>
      <c r="AO30" s="28" t="s">
        <v>201</v>
      </c>
      <c r="AP30" s="29" t="s">
        <v>202</v>
      </c>
      <c r="AQ30" s="26" t="s">
        <v>32</v>
      </c>
      <c r="AR30" s="32">
        <v>3646224.41</v>
      </c>
    </row>
    <row r="31" spans="1:52" ht="14.4">
      <c r="A31" s="24" t="s">
        <v>207</v>
      </c>
      <c r="B31" s="17" t="s">
        <v>36</v>
      </c>
      <c r="C31" s="18" t="s">
        <v>37</v>
      </c>
      <c r="D31" s="19" t="s">
        <v>208</v>
      </c>
      <c r="E31" s="20" t="s">
        <v>209</v>
      </c>
      <c r="F31" s="21" t="s">
        <v>32</v>
      </c>
      <c r="K31" s="412">
        <f t="shared" si="1"/>
        <v>0</v>
      </c>
      <c r="L31" s="417">
        <v>0</v>
      </c>
      <c r="M31" s="417">
        <v>0</v>
      </c>
      <c r="N31" s="4">
        <v>0</v>
      </c>
      <c r="O31" s="35" t="s">
        <v>210</v>
      </c>
      <c r="P31" s="35" t="s">
        <v>36</v>
      </c>
      <c r="Q31" s="36" t="s">
        <v>211</v>
      </c>
      <c r="R31" s="37" t="s">
        <v>37</v>
      </c>
      <c r="S31" s="38" t="s">
        <v>212</v>
      </c>
      <c r="T31" s="35" t="s">
        <v>46</v>
      </c>
      <c r="U31" s="10">
        <v>1.046</v>
      </c>
      <c r="V31" s="10" t="s">
        <v>42</v>
      </c>
      <c r="W31" s="11">
        <v>0.25</v>
      </c>
      <c r="X31" s="11">
        <v>0.75</v>
      </c>
      <c r="Y31" s="11">
        <f t="shared" si="0"/>
        <v>1.0115000000000001</v>
      </c>
      <c r="Z31" s="11" t="s">
        <v>33</v>
      </c>
      <c r="AA31" s="11" t="s">
        <v>33</v>
      </c>
      <c r="AC31" s="39" t="s">
        <v>207</v>
      </c>
      <c r="AD31" s="26" t="s">
        <v>36</v>
      </c>
      <c r="AE31" s="27" t="s">
        <v>37</v>
      </c>
      <c r="AF31" s="28" t="s">
        <v>208</v>
      </c>
      <c r="AG31" s="29" t="s">
        <v>209</v>
      </c>
      <c r="AH31" s="26" t="s">
        <v>32</v>
      </c>
      <c r="AI31" s="30">
        <v>0</v>
      </c>
      <c r="AJ31" s="30" t="s">
        <v>34</v>
      </c>
      <c r="AK31" s="31">
        <v>177</v>
      </c>
      <c r="AM31" s="39" t="s">
        <v>207</v>
      </c>
      <c r="AN31" s="27" t="s">
        <v>37</v>
      </c>
      <c r="AO31" s="28" t="s">
        <v>208</v>
      </c>
      <c r="AP31" s="29" t="s">
        <v>209</v>
      </c>
      <c r="AQ31" s="26" t="s">
        <v>32</v>
      </c>
      <c r="AR31" s="32">
        <v>1917963.78</v>
      </c>
    </row>
    <row r="32" spans="1:52" ht="14.4">
      <c r="A32" s="24" t="s">
        <v>213</v>
      </c>
      <c r="B32" s="17" t="s">
        <v>36</v>
      </c>
      <c r="C32" s="18" t="s">
        <v>37</v>
      </c>
      <c r="D32" s="19" t="s">
        <v>214</v>
      </c>
      <c r="E32" s="20" t="s">
        <v>215</v>
      </c>
      <c r="F32" s="21" t="s">
        <v>32</v>
      </c>
      <c r="K32" s="412">
        <f t="shared" si="1"/>
        <v>0</v>
      </c>
      <c r="L32" s="417">
        <v>0</v>
      </c>
      <c r="M32" s="417">
        <v>88</v>
      </c>
      <c r="N32" s="4">
        <v>0</v>
      </c>
      <c r="O32" s="17" t="s">
        <v>216</v>
      </c>
      <c r="P32" s="17" t="s">
        <v>216</v>
      </c>
      <c r="Q32" s="18" t="s">
        <v>217</v>
      </c>
      <c r="R32" s="19" t="s">
        <v>24</v>
      </c>
      <c r="S32" s="20" t="s">
        <v>218</v>
      </c>
      <c r="T32" s="21" t="s">
        <v>26</v>
      </c>
      <c r="U32" s="10">
        <v>1.052</v>
      </c>
      <c r="V32" s="10">
        <v>1.0349999999999999</v>
      </c>
      <c r="W32" s="11">
        <v>0.25</v>
      </c>
      <c r="X32" s="11">
        <v>0.75</v>
      </c>
      <c r="Y32" s="11">
        <f t="shared" si="0"/>
        <v>1.03925</v>
      </c>
      <c r="Z32" s="11" t="s">
        <v>33</v>
      </c>
      <c r="AA32" s="11" t="s">
        <v>33</v>
      </c>
      <c r="AC32" s="39" t="s">
        <v>213</v>
      </c>
      <c r="AD32" s="26" t="s">
        <v>36</v>
      </c>
      <c r="AE32" s="27" t="s">
        <v>37</v>
      </c>
      <c r="AF32" s="28" t="s">
        <v>214</v>
      </c>
      <c r="AG32" s="29" t="s">
        <v>215</v>
      </c>
      <c r="AH32" s="26" t="s">
        <v>32</v>
      </c>
      <c r="AI32" s="30">
        <v>4</v>
      </c>
      <c r="AJ32" s="30" t="s">
        <v>34</v>
      </c>
      <c r="AK32" s="31">
        <v>622</v>
      </c>
      <c r="AM32" s="39" t="s">
        <v>219</v>
      </c>
      <c r="AN32" s="27" t="s">
        <v>37</v>
      </c>
      <c r="AO32" s="28" t="s">
        <v>214</v>
      </c>
      <c r="AP32" s="29" t="s">
        <v>215</v>
      </c>
      <c r="AQ32" s="26" t="s">
        <v>32</v>
      </c>
      <c r="AR32" s="32">
        <v>5575431.4400000004</v>
      </c>
    </row>
    <row r="33" spans="1:44" ht="14.4">
      <c r="A33" s="24" t="s">
        <v>220</v>
      </c>
      <c r="B33" s="17" t="s">
        <v>36</v>
      </c>
      <c r="C33" s="18" t="s">
        <v>37</v>
      </c>
      <c r="D33" s="19" t="s">
        <v>221</v>
      </c>
      <c r="E33" s="20" t="s">
        <v>222</v>
      </c>
      <c r="F33" s="21" t="s">
        <v>32</v>
      </c>
      <c r="K33" s="412">
        <f t="shared" si="1"/>
        <v>0</v>
      </c>
      <c r="L33" s="417">
        <v>0</v>
      </c>
      <c r="M33" s="417">
        <v>0</v>
      </c>
      <c r="N33" s="4">
        <v>0</v>
      </c>
      <c r="O33" s="24" t="s">
        <v>62</v>
      </c>
      <c r="P33" s="17" t="s">
        <v>36</v>
      </c>
      <c r="Q33" s="18" t="s">
        <v>37</v>
      </c>
      <c r="R33" s="19" t="s">
        <v>63</v>
      </c>
      <c r="S33" s="20" t="s">
        <v>64</v>
      </c>
      <c r="T33" s="21" t="s">
        <v>32</v>
      </c>
      <c r="U33" s="10">
        <v>1.08</v>
      </c>
      <c r="V33" s="10">
        <v>1.0349999999999999</v>
      </c>
      <c r="W33" s="11">
        <v>0.25</v>
      </c>
      <c r="X33" s="11">
        <v>0.75</v>
      </c>
      <c r="Y33" s="11">
        <f t="shared" si="0"/>
        <v>1.0462499999999999</v>
      </c>
      <c r="Z33" s="11" t="s">
        <v>33</v>
      </c>
      <c r="AA33" s="11" t="s">
        <v>33</v>
      </c>
      <c r="AC33" s="39" t="s">
        <v>220</v>
      </c>
      <c r="AD33" s="26" t="s">
        <v>36</v>
      </c>
      <c r="AE33" s="27" t="s">
        <v>37</v>
      </c>
      <c r="AF33" s="28" t="s">
        <v>221</v>
      </c>
      <c r="AG33" s="29" t="s">
        <v>222</v>
      </c>
      <c r="AH33" s="26" t="s">
        <v>32</v>
      </c>
      <c r="AI33" s="30">
        <v>0</v>
      </c>
      <c r="AJ33" s="30" t="s">
        <v>34</v>
      </c>
      <c r="AK33" s="31">
        <v>274</v>
      </c>
      <c r="AM33" s="39" t="s">
        <v>223</v>
      </c>
      <c r="AN33" s="27" t="s">
        <v>37</v>
      </c>
      <c r="AO33" s="28" t="s">
        <v>221</v>
      </c>
      <c r="AP33" s="29" t="s">
        <v>222</v>
      </c>
      <c r="AQ33" s="26" t="s">
        <v>32</v>
      </c>
      <c r="AR33" s="32">
        <v>3407732.52</v>
      </c>
    </row>
    <row r="34" spans="1:44" ht="14.4">
      <c r="A34" s="24" t="s">
        <v>224</v>
      </c>
      <c r="B34" s="17" t="s">
        <v>36</v>
      </c>
      <c r="C34" s="18" t="s">
        <v>37</v>
      </c>
      <c r="D34" s="19" t="s">
        <v>225</v>
      </c>
      <c r="E34" s="20" t="s">
        <v>226</v>
      </c>
      <c r="F34" s="21" t="s">
        <v>32</v>
      </c>
      <c r="K34" s="412">
        <f t="shared" si="1"/>
        <v>0</v>
      </c>
      <c r="L34" s="417">
        <v>0</v>
      </c>
      <c r="M34" s="417">
        <v>108</v>
      </c>
      <c r="N34" s="4">
        <v>0</v>
      </c>
      <c r="O34" s="24" t="s">
        <v>69</v>
      </c>
      <c r="P34" s="17" t="s">
        <v>36</v>
      </c>
      <c r="Q34" s="18" t="s">
        <v>37</v>
      </c>
      <c r="R34" s="19" t="s">
        <v>70</v>
      </c>
      <c r="S34" s="20" t="s">
        <v>71</v>
      </c>
      <c r="T34" s="21" t="s">
        <v>32</v>
      </c>
      <c r="U34" s="10">
        <v>1.0880000000000001</v>
      </c>
      <c r="V34" s="10">
        <v>1.1000000000000001</v>
      </c>
      <c r="W34" s="11">
        <v>0.25</v>
      </c>
      <c r="X34" s="11">
        <v>0.75</v>
      </c>
      <c r="Y34" s="11">
        <f t="shared" si="0"/>
        <v>1.097</v>
      </c>
      <c r="Z34" s="11" t="s">
        <v>33</v>
      </c>
      <c r="AA34" s="11" t="s">
        <v>33</v>
      </c>
      <c r="AC34" s="39" t="s">
        <v>227</v>
      </c>
      <c r="AD34" s="26" t="s">
        <v>36</v>
      </c>
      <c r="AE34" s="27" t="s">
        <v>37</v>
      </c>
      <c r="AF34" s="28" t="s">
        <v>228</v>
      </c>
      <c r="AG34" s="29" t="s">
        <v>229</v>
      </c>
      <c r="AH34" s="26" t="s">
        <v>32</v>
      </c>
      <c r="AI34" s="30">
        <v>0</v>
      </c>
      <c r="AJ34" s="30" t="s">
        <v>34</v>
      </c>
      <c r="AK34" s="31">
        <v>36</v>
      </c>
      <c r="AM34" s="39" t="s">
        <v>224</v>
      </c>
      <c r="AN34" s="27" t="s">
        <v>37</v>
      </c>
      <c r="AO34" s="28" t="s">
        <v>225</v>
      </c>
      <c r="AP34" s="29" t="s">
        <v>222</v>
      </c>
      <c r="AQ34" s="26" t="s">
        <v>32</v>
      </c>
      <c r="AR34" s="32">
        <v>0</v>
      </c>
    </row>
    <row r="35" spans="1:44" ht="14.4">
      <c r="A35" s="24" t="s">
        <v>227</v>
      </c>
      <c r="B35" s="17" t="s">
        <v>36</v>
      </c>
      <c r="C35" s="18" t="s">
        <v>37</v>
      </c>
      <c r="D35" s="19" t="s">
        <v>228</v>
      </c>
      <c r="E35" s="20" t="s">
        <v>229</v>
      </c>
      <c r="F35" s="21" t="s">
        <v>32</v>
      </c>
      <c r="K35" s="412">
        <f t="shared" si="1"/>
        <v>0</v>
      </c>
      <c r="L35" s="417">
        <v>0</v>
      </c>
      <c r="M35" s="417">
        <v>38.5</v>
      </c>
      <c r="N35" s="4">
        <v>0</v>
      </c>
      <c r="O35" s="17" t="s">
        <v>230</v>
      </c>
      <c r="P35" s="17" t="s">
        <v>230</v>
      </c>
      <c r="Q35" s="18" t="s">
        <v>231</v>
      </c>
      <c r="R35" s="19" t="s">
        <v>24</v>
      </c>
      <c r="S35" s="20" t="s">
        <v>232</v>
      </c>
      <c r="T35" s="21" t="s">
        <v>26</v>
      </c>
      <c r="U35" s="10">
        <v>1.097</v>
      </c>
      <c r="V35" s="10">
        <v>1.077</v>
      </c>
      <c r="W35" s="11">
        <v>0.25</v>
      </c>
      <c r="X35" s="11">
        <v>0.75</v>
      </c>
      <c r="Y35" s="11">
        <f t="shared" si="0"/>
        <v>1.0819999999999999</v>
      </c>
      <c r="Z35" s="11" t="s">
        <v>33</v>
      </c>
      <c r="AA35" s="11" t="s">
        <v>33</v>
      </c>
      <c r="AC35" s="40" t="s">
        <v>233</v>
      </c>
      <c r="AD35" s="40" t="s">
        <v>36</v>
      </c>
      <c r="AE35" s="41"/>
      <c r="AF35" s="40"/>
      <c r="AG35" s="40" t="s">
        <v>234</v>
      </c>
      <c r="AH35" s="40"/>
      <c r="AI35" s="42">
        <v>408</v>
      </c>
      <c r="AJ35" s="43"/>
      <c r="AK35" s="44">
        <v>81993</v>
      </c>
      <c r="AM35" s="39" t="s">
        <v>227</v>
      </c>
      <c r="AN35" s="27" t="s">
        <v>37</v>
      </c>
      <c r="AO35" s="28" t="s">
        <v>228</v>
      </c>
      <c r="AP35" s="29" t="s">
        <v>229</v>
      </c>
      <c r="AQ35" s="26" t="s">
        <v>32</v>
      </c>
      <c r="AR35" s="32">
        <v>613475.24</v>
      </c>
    </row>
    <row r="36" spans="1:44" ht="14.4">
      <c r="A36" s="45" t="s">
        <v>233</v>
      </c>
      <c r="B36" s="45" t="s">
        <v>36</v>
      </c>
      <c r="C36" s="46"/>
      <c r="D36" s="45"/>
      <c r="E36" s="45" t="s">
        <v>234</v>
      </c>
      <c r="F36" s="45"/>
      <c r="K36" s="42">
        <v>11469</v>
      </c>
      <c r="L36" s="418">
        <v>11469</v>
      </c>
      <c r="M36" s="418"/>
      <c r="N36" s="4">
        <v>11469</v>
      </c>
      <c r="O36" s="17" t="s">
        <v>235</v>
      </c>
      <c r="P36" s="17" t="s">
        <v>235</v>
      </c>
      <c r="Q36" s="18" t="s">
        <v>236</v>
      </c>
      <c r="R36" s="19" t="s">
        <v>24</v>
      </c>
      <c r="S36" s="20" t="s">
        <v>237</v>
      </c>
      <c r="T36" s="21" t="s">
        <v>26</v>
      </c>
      <c r="U36" s="10">
        <v>1.006</v>
      </c>
      <c r="V36" s="10" t="s">
        <v>42</v>
      </c>
      <c r="W36" s="11">
        <v>0.25</v>
      </c>
      <c r="X36" s="11">
        <v>0.75</v>
      </c>
      <c r="Y36" s="11">
        <f t="shared" si="0"/>
        <v>1.0015000000000001</v>
      </c>
      <c r="Z36" s="11" t="s">
        <v>33</v>
      </c>
      <c r="AA36" s="11" t="s">
        <v>33</v>
      </c>
      <c r="AC36" s="25" t="s">
        <v>137</v>
      </c>
      <c r="AD36" s="26" t="s">
        <v>137</v>
      </c>
      <c r="AE36" s="27" t="s">
        <v>119</v>
      </c>
      <c r="AF36" s="28" t="s">
        <v>24</v>
      </c>
      <c r="AG36" s="29" t="s">
        <v>138</v>
      </c>
      <c r="AH36" s="26" t="s">
        <v>26</v>
      </c>
      <c r="AI36" s="30">
        <v>0</v>
      </c>
      <c r="AJ36" s="30" t="s">
        <v>34</v>
      </c>
      <c r="AK36" s="31">
        <v>146.5</v>
      </c>
      <c r="AM36" s="25" t="s">
        <v>137</v>
      </c>
      <c r="AN36" s="27" t="s">
        <v>119</v>
      </c>
      <c r="AO36" s="28" t="s">
        <v>24</v>
      </c>
      <c r="AP36" s="29" t="s">
        <v>138</v>
      </c>
      <c r="AQ36" s="26" t="s">
        <v>26</v>
      </c>
      <c r="AR36" s="32">
        <v>2223271.58</v>
      </c>
    </row>
    <row r="37" spans="1:44" ht="14.4">
      <c r="A37" s="16" t="s">
        <v>137</v>
      </c>
      <c r="B37" s="17" t="s">
        <v>137</v>
      </c>
      <c r="C37" s="18" t="s">
        <v>119</v>
      </c>
      <c r="D37" s="19" t="s">
        <v>24</v>
      </c>
      <c r="E37" s="20" t="s">
        <v>138</v>
      </c>
      <c r="F37" s="21" t="s">
        <v>26</v>
      </c>
      <c r="G37" s="22">
        <v>1165</v>
      </c>
      <c r="H37" s="22">
        <v>0</v>
      </c>
      <c r="I37" s="22">
        <v>1165</v>
      </c>
      <c r="J37" s="23">
        <v>1</v>
      </c>
      <c r="K37" s="412">
        <f t="shared" ref="K37:K40" si="2">MIN($L37,MAX($M37,$N37))</f>
        <v>0</v>
      </c>
      <c r="L37" s="417">
        <v>0</v>
      </c>
      <c r="M37" s="417">
        <v>71.5</v>
      </c>
      <c r="N37" s="4">
        <v>0</v>
      </c>
      <c r="O37" s="17" t="s">
        <v>238</v>
      </c>
      <c r="P37" s="17" t="s">
        <v>238</v>
      </c>
      <c r="Q37" s="18" t="s">
        <v>239</v>
      </c>
      <c r="R37" s="19" t="s">
        <v>24</v>
      </c>
      <c r="S37" s="20" t="s">
        <v>240</v>
      </c>
      <c r="T37" s="21" t="s">
        <v>26</v>
      </c>
      <c r="U37" s="10">
        <v>1.0940000000000001</v>
      </c>
      <c r="V37" s="10">
        <v>1.111</v>
      </c>
      <c r="W37" s="11">
        <v>0.25</v>
      </c>
      <c r="X37" s="11">
        <v>0.75</v>
      </c>
      <c r="Y37" s="11">
        <f t="shared" si="0"/>
        <v>1.1067500000000001</v>
      </c>
      <c r="Z37" s="11" t="s">
        <v>33</v>
      </c>
      <c r="AA37" s="11" t="s">
        <v>33</v>
      </c>
      <c r="AC37" s="26" t="s">
        <v>143</v>
      </c>
      <c r="AD37" s="26" t="s">
        <v>143</v>
      </c>
      <c r="AE37" s="27" t="s">
        <v>144</v>
      </c>
      <c r="AF37" s="28" t="s">
        <v>24</v>
      </c>
      <c r="AG37" s="29" t="s">
        <v>145</v>
      </c>
      <c r="AH37" s="26" t="s">
        <v>26</v>
      </c>
      <c r="AI37" s="30">
        <v>0</v>
      </c>
      <c r="AJ37" s="30" t="s">
        <v>34</v>
      </c>
      <c r="AK37" s="31">
        <v>3713.5</v>
      </c>
      <c r="AM37" s="26" t="s">
        <v>143</v>
      </c>
      <c r="AN37" s="27" t="s">
        <v>144</v>
      </c>
      <c r="AO37" s="28" t="s">
        <v>24</v>
      </c>
      <c r="AP37" s="29" t="s">
        <v>145</v>
      </c>
      <c r="AQ37" s="26" t="s">
        <v>26</v>
      </c>
      <c r="AR37" s="32">
        <v>31364606.309999999</v>
      </c>
    </row>
    <row r="38" spans="1:44" ht="14.4">
      <c r="A38" s="17" t="s">
        <v>143</v>
      </c>
      <c r="B38" s="17" t="s">
        <v>143</v>
      </c>
      <c r="C38" s="18" t="s">
        <v>144</v>
      </c>
      <c r="D38" s="19" t="s">
        <v>24</v>
      </c>
      <c r="E38" s="20" t="s">
        <v>145</v>
      </c>
      <c r="F38" s="21" t="s">
        <v>26</v>
      </c>
      <c r="G38" s="22">
        <v>18220</v>
      </c>
      <c r="H38" s="22">
        <v>12764</v>
      </c>
      <c r="I38" s="22">
        <v>5456</v>
      </c>
      <c r="J38" s="23">
        <v>0.29945115257958288</v>
      </c>
      <c r="K38" s="412">
        <f t="shared" si="2"/>
        <v>296</v>
      </c>
      <c r="L38" s="417">
        <v>296</v>
      </c>
      <c r="M38" s="417">
        <v>1990.5</v>
      </c>
      <c r="N38" s="4">
        <v>296</v>
      </c>
      <c r="O38" s="17" t="s">
        <v>241</v>
      </c>
      <c r="P38" s="17" t="s">
        <v>241</v>
      </c>
      <c r="Q38" s="18" t="s">
        <v>242</v>
      </c>
      <c r="R38" s="19" t="s">
        <v>24</v>
      </c>
      <c r="S38" s="20" t="s">
        <v>243</v>
      </c>
      <c r="T38" s="21" t="s">
        <v>26</v>
      </c>
      <c r="U38" s="10">
        <v>1.0569999999999999</v>
      </c>
      <c r="V38" s="10">
        <v>1.046</v>
      </c>
      <c r="W38" s="11">
        <v>0.25</v>
      </c>
      <c r="X38" s="11">
        <v>0.75</v>
      </c>
      <c r="Y38" s="11">
        <f t="shared" si="0"/>
        <v>1.0487500000000001</v>
      </c>
      <c r="Z38" s="11" t="s">
        <v>33</v>
      </c>
      <c r="AA38" s="11" t="s">
        <v>33</v>
      </c>
      <c r="AC38" s="26" t="s">
        <v>157</v>
      </c>
      <c r="AD38" s="26" t="s">
        <v>157</v>
      </c>
      <c r="AE38" s="27" t="s">
        <v>158</v>
      </c>
      <c r="AF38" s="28" t="s">
        <v>24</v>
      </c>
      <c r="AG38" s="29" t="s">
        <v>159</v>
      </c>
      <c r="AH38" s="26" t="s">
        <v>26</v>
      </c>
      <c r="AI38" s="30">
        <v>3</v>
      </c>
      <c r="AJ38" s="30" t="s">
        <v>34</v>
      </c>
      <c r="AK38" s="31">
        <v>2279</v>
      </c>
      <c r="AM38" s="26" t="s">
        <v>157</v>
      </c>
      <c r="AN38" s="27" t="s">
        <v>158</v>
      </c>
      <c r="AO38" s="28" t="s">
        <v>24</v>
      </c>
      <c r="AP38" s="29" t="s">
        <v>159</v>
      </c>
      <c r="AQ38" s="26" t="s">
        <v>26</v>
      </c>
      <c r="AR38" s="32">
        <v>23061001.920000002</v>
      </c>
    </row>
    <row r="39" spans="1:44" ht="14.4">
      <c r="A39" s="17" t="s">
        <v>157</v>
      </c>
      <c r="B39" s="17" t="s">
        <v>157</v>
      </c>
      <c r="C39" s="18" t="s">
        <v>158</v>
      </c>
      <c r="D39" s="19" t="s">
        <v>24</v>
      </c>
      <c r="E39" s="20" t="s">
        <v>159</v>
      </c>
      <c r="F39" s="21" t="s">
        <v>26</v>
      </c>
      <c r="G39" s="22">
        <v>16755</v>
      </c>
      <c r="H39" s="22">
        <v>9738</v>
      </c>
      <c r="I39" s="22">
        <v>7017</v>
      </c>
      <c r="J39" s="23">
        <v>0.41880035810205907</v>
      </c>
      <c r="K39" s="412">
        <f t="shared" si="2"/>
        <v>0</v>
      </c>
      <c r="L39" s="417">
        <v>0</v>
      </c>
      <c r="M39" s="417">
        <v>1096.5</v>
      </c>
      <c r="N39" s="4">
        <v>0</v>
      </c>
      <c r="O39" s="17" t="s">
        <v>244</v>
      </c>
      <c r="P39" s="17" t="s">
        <v>244</v>
      </c>
      <c r="Q39" s="18" t="s">
        <v>30</v>
      </c>
      <c r="R39" s="19" t="s">
        <v>24</v>
      </c>
      <c r="S39" s="20" t="s">
        <v>245</v>
      </c>
      <c r="T39" s="21" t="s">
        <v>26</v>
      </c>
      <c r="U39" s="10">
        <v>1.0820000000000001</v>
      </c>
      <c r="V39" s="10">
        <v>1.0409999999999999</v>
      </c>
      <c r="W39" s="11">
        <v>0.25</v>
      </c>
      <c r="X39" s="11">
        <v>0.75</v>
      </c>
      <c r="Y39" s="11">
        <f t="shared" si="0"/>
        <v>1.05125</v>
      </c>
      <c r="Z39" s="11" t="s">
        <v>33</v>
      </c>
      <c r="AA39" s="11" t="s">
        <v>33</v>
      </c>
      <c r="AC39" s="39" t="s">
        <v>246</v>
      </c>
      <c r="AD39" s="26" t="s">
        <v>157</v>
      </c>
      <c r="AE39" s="27" t="s">
        <v>158</v>
      </c>
      <c r="AF39" s="28" t="s">
        <v>37</v>
      </c>
      <c r="AG39" s="29" t="s">
        <v>247</v>
      </c>
      <c r="AH39" s="26" t="s">
        <v>32</v>
      </c>
      <c r="AI39" s="30">
        <v>0</v>
      </c>
      <c r="AJ39" s="30" t="s">
        <v>34</v>
      </c>
      <c r="AK39" s="31">
        <v>179</v>
      </c>
      <c r="AM39" s="39" t="s">
        <v>246</v>
      </c>
      <c r="AN39" s="27" t="s">
        <v>158</v>
      </c>
      <c r="AO39" s="28" t="s">
        <v>37</v>
      </c>
      <c r="AP39" s="29" t="s">
        <v>247</v>
      </c>
      <c r="AQ39" s="26" t="s">
        <v>32</v>
      </c>
      <c r="AR39" s="32">
        <v>1625816.1</v>
      </c>
    </row>
    <row r="40" spans="1:44" ht="14.4">
      <c r="A40" s="24" t="s">
        <v>246</v>
      </c>
      <c r="B40" s="17" t="s">
        <v>157</v>
      </c>
      <c r="C40" s="18" t="s">
        <v>158</v>
      </c>
      <c r="D40" s="19" t="s">
        <v>37</v>
      </c>
      <c r="E40" s="20" t="s">
        <v>247</v>
      </c>
      <c r="F40" s="21" t="s">
        <v>32</v>
      </c>
      <c r="K40" s="412">
        <f t="shared" si="2"/>
        <v>0</v>
      </c>
      <c r="L40" s="417">
        <v>0</v>
      </c>
      <c r="M40" s="417">
        <v>138.5</v>
      </c>
      <c r="N40" s="4">
        <v>0</v>
      </c>
      <c r="O40" s="24" t="s">
        <v>72</v>
      </c>
      <c r="P40" s="17" t="s">
        <v>36</v>
      </c>
      <c r="Q40" s="18" t="s">
        <v>37</v>
      </c>
      <c r="R40" s="19" t="s">
        <v>73</v>
      </c>
      <c r="S40" s="20" t="s">
        <v>74</v>
      </c>
      <c r="T40" s="21" t="s">
        <v>32</v>
      </c>
      <c r="U40" s="10">
        <v>1.07</v>
      </c>
      <c r="V40" s="10" t="s">
        <v>42</v>
      </c>
      <c r="W40" s="11">
        <v>0.25</v>
      </c>
      <c r="X40" s="11">
        <v>0.75</v>
      </c>
      <c r="Y40" s="11">
        <f t="shared" si="0"/>
        <v>1.0175000000000001</v>
      </c>
      <c r="Z40" s="11" t="s">
        <v>33</v>
      </c>
      <c r="AA40" s="11" t="s">
        <v>33</v>
      </c>
      <c r="AC40" s="40" t="s">
        <v>248</v>
      </c>
      <c r="AD40" s="40" t="s">
        <v>157</v>
      </c>
      <c r="AE40" s="41"/>
      <c r="AF40" s="40"/>
      <c r="AG40" s="40" t="s">
        <v>234</v>
      </c>
      <c r="AH40" s="40"/>
      <c r="AI40" s="47">
        <v>3</v>
      </c>
      <c r="AJ40" s="40"/>
      <c r="AK40" s="44">
        <v>2458</v>
      </c>
      <c r="AM40" s="26" t="s">
        <v>166</v>
      </c>
      <c r="AN40" s="27" t="s">
        <v>167</v>
      </c>
      <c r="AO40" s="28" t="s">
        <v>24</v>
      </c>
      <c r="AP40" s="29" t="s">
        <v>168</v>
      </c>
      <c r="AQ40" s="26" t="s">
        <v>26</v>
      </c>
      <c r="AR40" s="32">
        <v>34141532.649999999</v>
      </c>
    </row>
    <row r="41" spans="1:44" ht="14.4">
      <c r="A41" s="45" t="s">
        <v>248</v>
      </c>
      <c r="B41" s="45" t="s">
        <v>157</v>
      </c>
      <c r="C41" s="46"/>
      <c r="D41" s="45"/>
      <c r="E41" s="45" t="s">
        <v>234</v>
      </c>
      <c r="F41" s="45"/>
      <c r="K41" s="47">
        <v>0</v>
      </c>
      <c r="L41" s="419">
        <v>0</v>
      </c>
      <c r="M41" s="419"/>
      <c r="N41" s="4">
        <v>0</v>
      </c>
      <c r="O41" s="17" t="s">
        <v>249</v>
      </c>
      <c r="P41" s="17" t="s">
        <v>249</v>
      </c>
      <c r="Q41" s="18" t="s">
        <v>250</v>
      </c>
      <c r="R41" s="19" t="s">
        <v>24</v>
      </c>
      <c r="S41" s="20" t="s">
        <v>251</v>
      </c>
      <c r="T41" s="21" t="s">
        <v>26</v>
      </c>
      <c r="U41" s="10">
        <v>1.1719999999999999</v>
      </c>
      <c r="V41" s="10">
        <v>1.208</v>
      </c>
      <c r="W41" s="11">
        <v>0.25</v>
      </c>
      <c r="X41" s="11">
        <v>0.75</v>
      </c>
      <c r="Y41" s="11">
        <f t="shared" si="0"/>
        <v>1.1989999999999998</v>
      </c>
      <c r="Z41" s="11" t="s">
        <v>33</v>
      </c>
      <c r="AA41" s="11" t="s">
        <v>33</v>
      </c>
      <c r="AC41" s="26" t="s">
        <v>166</v>
      </c>
      <c r="AD41" s="26" t="s">
        <v>166</v>
      </c>
      <c r="AE41" s="27" t="s">
        <v>167</v>
      </c>
      <c r="AF41" s="28" t="s">
        <v>24</v>
      </c>
      <c r="AG41" s="29" t="s">
        <v>168</v>
      </c>
      <c r="AH41" s="26" t="s">
        <v>26</v>
      </c>
      <c r="AI41" s="30">
        <v>5</v>
      </c>
      <c r="AJ41" s="30" t="s">
        <v>34</v>
      </c>
      <c r="AK41" s="31">
        <v>3630.5</v>
      </c>
      <c r="AM41" s="26" t="s">
        <v>171</v>
      </c>
      <c r="AN41" s="27" t="s">
        <v>141</v>
      </c>
      <c r="AO41" s="28" t="s">
        <v>24</v>
      </c>
      <c r="AP41" s="29" t="s">
        <v>172</v>
      </c>
      <c r="AQ41" s="26" t="s">
        <v>26</v>
      </c>
      <c r="AR41" s="32">
        <v>26256073.699999999</v>
      </c>
    </row>
    <row r="42" spans="1:44" ht="14.4">
      <c r="A42" s="17" t="s">
        <v>166</v>
      </c>
      <c r="B42" s="17" t="s">
        <v>166</v>
      </c>
      <c r="C42" s="18" t="s">
        <v>167</v>
      </c>
      <c r="D42" s="19" t="s">
        <v>24</v>
      </c>
      <c r="E42" s="20" t="s">
        <v>168</v>
      </c>
      <c r="F42" s="21" t="s">
        <v>26</v>
      </c>
      <c r="G42" s="22">
        <v>30853</v>
      </c>
      <c r="H42" s="22">
        <v>19363</v>
      </c>
      <c r="I42" s="22">
        <v>11490</v>
      </c>
      <c r="J42" s="23">
        <v>0.37241111075098043</v>
      </c>
      <c r="K42" s="412">
        <f t="shared" ref="K42:K48" si="3">MIN($L42,MAX($M42,$N42))</f>
        <v>462</v>
      </c>
      <c r="L42" s="417">
        <v>462</v>
      </c>
      <c r="M42" s="417">
        <v>1842</v>
      </c>
      <c r="N42" s="4">
        <v>462</v>
      </c>
      <c r="O42" s="24" t="s">
        <v>79</v>
      </c>
      <c r="P42" s="17" t="s">
        <v>36</v>
      </c>
      <c r="Q42" s="18" t="s">
        <v>37</v>
      </c>
      <c r="R42" s="19" t="s">
        <v>80</v>
      </c>
      <c r="S42" s="20" t="s">
        <v>81</v>
      </c>
      <c r="T42" s="21" t="s">
        <v>32</v>
      </c>
      <c r="U42" s="10">
        <v>1.1120000000000001</v>
      </c>
      <c r="V42" s="10">
        <v>1.115</v>
      </c>
      <c r="W42" s="11">
        <v>0.25</v>
      </c>
      <c r="X42" s="11">
        <v>0.75</v>
      </c>
      <c r="Y42" s="11">
        <f t="shared" si="0"/>
        <v>1.11425</v>
      </c>
      <c r="Z42" s="11" t="s">
        <v>33</v>
      </c>
      <c r="AA42" s="11" t="s">
        <v>33</v>
      </c>
      <c r="AC42" s="26" t="s">
        <v>171</v>
      </c>
      <c r="AD42" s="26" t="s">
        <v>171</v>
      </c>
      <c r="AE42" s="27" t="s">
        <v>141</v>
      </c>
      <c r="AF42" s="28" t="s">
        <v>24</v>
      </c>
      <c r="AG42" s="29" t="s">
        <v>172</v>
      </c>
      <c r="AH42" s="26" t="s">
        <v>26</v>
      </c>
      <c r="AI42" s="30">
        <v>6</v>
      </c>
      <c r="AJ42" s="30" t="s">
        <v>34</v>
      </c>
      <c r="AK42" s="31">
        <v>2701.5</v>
      </c>
      <c r="AM42" s="26" t="s">
        <v>177</v>
      </c>
      <c r="AN42" s="27" t="s">
        <v>178</v>
      </c>
      <c r="AO42" s="28" t="s">
        <v>24</v>
      </c>
      <c r="AP42" s="29" t="s">
        <v>179</v>
      </c>
      <c r="AQ42" s="26" t="s">
        <v>26</v>
      </c>
      <c r="AR42" s="32">
        <v>24438196.190000001</v>
      </c>
    </row>
    <row r="43" spans="1:44" ht="14.4">
      <c r="A43" s="17" t="s">
        <v>171</v>
      </c>
      <c r="B43" s="17" t="s">
        <v>171</v>
      </c>
      <c r="C43" s="18" t="s">
        <v>141</v>
      </c>
      <c r="D43" s="19" t="s">
        <v>24</v>
      </c>
      <c r="E43" s="20" t="s">
        <v>172</v>
      </c>
      <c r="F43" s="21" t="s">
        <v>26</v>
      </c>
      <c r="G43" s="22">
        <v>24342</v>
      </c>
      <c r="H43" s="22">
        <v>12896</v>
      </c>
      <c r="I43" s="22">
        <v>11446</v>
      </c>
      <c r="J43" s="23">
        <v>0.47021608742091858</v>
      </c>
      <c r="K43" s="412">
        <f t="shared" si="3"/>
        <v>960</v>
      </c>
      <c r="L43" s="417">
        <v>960</v>
      </c>
      <c r="M43" s="417">
        <v>1467.5</v>
      </c>
      <c r="N43" s="4">
        <v>960</v>
      </c>
      <c r="O43" s="24" t="s">
        <v>85</v>
      </c>
      <c r="P43" s="17" t="s">
        <v>36</v>
      </c>
      <c r="Q43" s="18" t="s">
        <v>37</v>
      </c>
      <c r="R43" s="19" t="s">
        <v>86</v>
      </c>
      <c r="S43" s="20" t="s">
        <v>87</v>
      </c>
      <c r="T43" s="21" t="s">
        <v>32</v>
      </c>
      <c r="U43" s="10">
        <v>1.111</v>
      </c>
      <c r="V43" s="10">
        <v>1.103</v>
      </c>
      <c r="W43" s="11">
        <v>0.25</v>
      </c>
      <c r="X43" s="11">
        <v>0.75</v>
      </c>
      <c r="Y43" s="11">
        <f t="shared" si="0"/>
        <v>1.105</v>
      </c>
      <c r="Z43" s="11" t="s">
        <v>33</v>
      </c>
      <c r="AA43" s="11" t="s">
        <v>33</v>
      </c>
      <c r="AC43" s="26" t="s">
        <v>177</v>
      </c>
      <c r="AD43" s="26" t="s">
        <v>177</v>
      </c>
      <c r="AE43" s="27" t="s">
        <v>178</v>
      </c>
      <c r="AF43" s="28" t="s">
        <v>24</v>
      </c>
      <c r="AG43" s="29" t="s">
        <v>179</v>
      </c>
      <c r="AH43" s="26" t="s">
        <v>26</v>
      </c>
      <c r="AI43" s="30">
        <v>4</v>
      </c>
      <c r="AJ43" s="30" t="s">
        <v>34</v>
      </c>
      <c r="AK43" s="31">
        <v>2477.5</v>
      </c>
      <c r="AM43" s="26" t="s">
        <v>184</v>
      </c>
      <c r="AN43" s="27" t="s">
        <v>185</v>
      </c>
      <c r="AO43" s="28" t="s">
        <v>24</v>
      </c>
      <c r="AP43" s="29" t="s">
        <v>186</v>
      </c>
      <c r="AQ43" s="26" t="s">
        <v>26</v>
      </c>
      <c r="AR43" s="32">
        <v>5701299.5800000001</v>
      </c>
    </row>
    <row r="44" spans="1:44" ht="14.4">
      <c r="A44" s="17" t="s">
        <v>177</v>
      </c>
      <c r="B44" s="17" t="s">
        <v>177</v>
      </c>
      <c r="C44" s="18" t="s">
        <v>178</v>
      </c>
      <c r="D44" s="19" t="s">
        <v>24</v>
      </c>
      <c r="E44" s="20" t="s">
        <v>179</v>
      </c>
      <c r="F44" s="21" t="s">
        <v>26</v>
      </c>
      <c r="G44" s="22">
        <v>17928</v>
      </c>
      <c r="H44" s="22">
        <v>9244</v>
      </c>
      <c r="I44" s="22">
        <v>8684</v>
      </c>
      <c r="J44" s="23">
        <v>0.48438197233377955</v>
      </c>
      <c r="K44" s="412">
        <f t="shared" si="3"/>
        <v>0</v>
      </c>
      <c r="L44" s="417">
        <v>0</v>
      </c>
      <c r="M44" s="417">
        <v>1176.5</v>
      </c>
      <c r="N44" s="4">
        <v>0</v>
      </c>
      <c r="O44" s="24" t="s">
        <v>252</v>
      </c>
      <c r="P44" s="17" t="s">
        <v>253</v>
      </c>
      <c r="Q44" s="18" t="s">
        <v>254</v>
      </c>
      <c r="R44" s="19" t="s">
        <v>255</v>
      </c>
      <c r="S44" s="20" t="s">
        <v>256</v>
      </c>
      <c r="T44" s="21" t="s">
        <v>32</v>
      </c>
      <c r="U44" s="10">
        <v>1.107</v>
      </c>
      <c r="V44" s="10">
        <v>1.06</v>
      </c>
      <c r="W44" s="11">
        <v>0.25</v>
      </c>
      <c r="X44" s="11">
        <v>0.75</v>
      </c>
      <c r="Y44" s="11">
        <f t="shared" si="0"/>
        <v>1.07175</v>
      </c>
      <c r="Z44" s="11" t="s">
        <v>33</v>
      </c>
      <c r="AA44" s="11" t="s">
        <v>33</v>
      </c>
      <c r="AC44" s="26" t="s">
        <v>184</v>
      </c>
      <c r="AD44" s="26" t="s">
        <v>184</v>
      </c>
      <c r="AE44" s="27" t="s">
        <v>185</v>
      </c>
      <c r="AF44" s="28" t="s">
        <v>24</v>
      </c>
      <c r="AG44" s="29" t="s">
        <v>186</v>
      </c>
      <c r="AH44" s="26" t="s">
        <v>26</v>
      </c>
      <c r="AI44" s="30">
        <v>0</v>
      </c>
      <c r="AJ44" s="30" t="s">
        <v>34</v>
      </c>
      <c r="AK44" s="31">
        <v>424.5</v>
      </c>
      <c r="AM44" s="26" t="s">
        <v>189</v>
      </c>
      <c r="AN44" s="27" t="s">
        <v>190</v>
      </c>
      <c r="AO44" s="28" t="s">
        <v>24</v>
      </c>
      <c r="AP44" s="29" t="s">
        <v>191</v>
      </c>
      <c r="AQ44" s="26" t="s">
        <v>26</v>
      </c>
      <c r="AR44" s="32">
        <v>57839789.950000003</v>
      </c>
    </row>
    <row r="45" spans="1:44" ht="14.4">
      <c r="A45" s="17" t="s">
        <v>184</v>
      </c>
      <c r="B45" s="17" t="s">
        <v>184</v>
      </c>
      <c r="C45" s="18" t="s">
        <v>185</v>
      </c>
      <c r="D45" s="19" t="s">
        <v>24</v>
      </c>
      <c r="E45" s="20" t="s">
        <v>186</v>
      </c>
      <c r="F45" s="21" t="s">
        <v>26</v>
      </c>
      <c r="G45" s="22">
        <v>4230</v>
      </c>
      <c r="H45" s="22">
        <v>0</v>
      </c>
      <c r="I45" s="22">
        <v>4230</v>
      </c>
      <c r="J45" s="23">
        <v>1</v>
      </c>
      <c r="K45" s="412">
        <f t="shared" si="3"/>
        <v>0</v>
      </c>
      <c r="L45" s="417">
        <v>0</v>
      </c>
      <c r="M45" s="417">
        <v>190</v>
      </c>
      <c r="N45" s="4">
        <v>0</v>
      </c>
      <c r="O45" s="17" t="s">
        <v>257</v>
      </c>
      <c r="P45" s="17" t="s">
        <v>257</v>
      </c>
      <c r="Q45" s="18" t="s">
        <v>258</v>
      </c>
      <c r="R45" s="19" t="s">
        <v>24</v>
      </c>
      <c r="S45" s="20" t="s">
        <v>259</v>
      </c>
      <c r="T45" s="21" t="s">
        <v>26</v>
      </c>
      <c r="U45" s="10">
        <v>1.1479999999999999</v>
      </c>
      <c r="V45" s="10">
        <v>1.1200000000000001</v>
      </c>
      <c r="W45" s="11">
        <v>0.25</v>
      </c>
      <c r="X45" s="11">
        <v>0.75</v>
      </c>
      <c r="Y45" s="11">
        <f t="shared" si="0"/>
        <v>1.127</v>
      </c>
      <c r="Z45" s="11" t="s">
        <v>33</v>
      </c>
      <c r="AA45" s="11" t="s">
        <v>33</v>
      </c>
      <c r="AC45" s="26" t="s">
        <v>189</v>
      </c>
      <c r="AD45" s="26" t="s">
        <v>189</v>
      </c>
      <c r="AE45" s="27" t="s">
        <v>190</v>
      </c>
      <c r="AF45" s="28" t="s">
        <v>24</v>
      </c>
      <c r="AG45" s="29" t="s">
        <v>191</v>
      </c>
      <c r="AH45" s="26" t="s">
        <v>26</v>
      </c>
      <c r="AI45" s="30">
        <v>1</v>
      </c>
      <c r="AJ45" s="30" t="s">
        <v>34</v>
      </c>
      <c r="AK45" s="31">
        <v>6485</v>
      </c>
      <c r="AM45" s="39" t="s">
        <v>260</v>
      </c>
      <c r="AN45" s="27" t="s">
        <v>190</v>
      </c>
      <c r="AO45" s="28" t="s">
        <v>37</v>
      </c>
      <c r="AP45" s="29" t="s">
        <v>261</v>
      </c>
      <c r="AQ45" s="26" t="s">
        <v>32</v>
      </c>
      <c r="AR45" s="32">
        <v>2179517.69</v>
      </c>
    </row>
    <row r="46" spans="1:44" ht="14.4">
      <c r="A46" s="17" t="s">
        <v>189</v>
      </c>
      <c r="B46" s="17" t="s">
        <v>189</v>
      </c>
      <c r="C46" s="18" t="s">
        <v>190</v>
      </c>
      <c r="D46" s="19" t="s">
        <v>24</v>
      </c>
      <c r="E46" s="20" t="s">
        <v>191</v>
      </c>
      <c r="F46" s="21" t="s">
        <v>26</v>
      </c>
      <c r="G46" s="22">
        <v>33835</v>
      </c>
      <c r="H46" s="22">
        <v>29839</v>
      </c>
      <c r="I46" s="22">
        <v>3996</v>
      </c>
      <c r="J46" s="23">
        <v>0.11810255652430915</v>
      </c>
      <c r="K46" s="412">
        <f t="shared" si="3"/>
        <v>898</v>
      </c>
      <c r="L46" s="417">
        <v>898</v>
      </c>
      <c r="M46" s="417">
        <v>3537.5</v>
      </c>
      <c r="N46" s="4">
        <v>898</v>
      </c>
      <c r="O46" s="35" t="s">
        <v>262</v>
      </c>
      <c r="P46" s="35" t="s">
        <v>263</v>
      </c>
      <c r="Q46" s="36" t="s">
        <v>264</v>
      </c>
      <c r="R46" s="37" t="s">
        <v>37</v>
      </c>
      <c r="S46" s="38" t="s">
        <v>265</v>
      </c>
      <c r="T46" s="35" t="s">
        <v>46</v>
      </c>
      <c r="U46" s="10">
        <v>1.0269999999999999</v>
      </c>
      <c r="V46" s="10" t="s">
        <v>42</v>
      </c>
      <c r="W46" s="11">
        <v>0.25</v>
      </c>
      <c r="X46" s="11">
        <v>0.75</v>
      </c>
      <c r="Y46" s="11">
        <f t="shared" si="0"/>
        <v>1.00675</v>
      </c>
      <c r="Z46" s="11" t="s">
        <v>33</v>
      </c>
      <c r="AA46" s="11" t="s">
        <v>33</v>
      </c>
      <c r="AC46" s="39" t="s">
        <v>266</v>
      </c>
      <c r="AD46" s="26" t="s">
        <v>189</v>
      </c>
      <c r="AE46" s="27" t="s">
        <v>190</v>
      </c>
      <c r="AF46" s="28" t="s">
        <v>37</v>
      </c>
      <c r="AG46" s="29" t="s">
        <v>261</v>
      </c>
      <c r="AH46" s="26" t="s">
        <v>32</v>
      </c>
      <c r="AI46" s="30">
        <v>0</v>
      </c>
      <c r="AJ46" s="30" t="s">
        <v>34</v>
      </c>
      <c r="AK46" s="31">
        <v>250</v>
      </c>
      <c r="AM46" s="39" t="s">
        <v>267</v>
      </c>
      <c r="AN46" s="27" t="s">
        <v>190</v>
      </c>
      <c r="AO46" s="28" t="s">
        <v>268</v>
      </c>
      <c r="AP46" s="29" t="s">
        <v>269</v>
      </c>
      <c r="AQ46" s="26" t="s">
        <v>32</v>
      </c>
      <c r="AR46" s="32">
        <v>11398667.5</v>
      </c>
    </row>
    <row r="47" spans="1:44" ht="14.4">
      <c r="A47" s="24" t="s">
        <v>266</v>
      </c>
      <c r="B47" s="17" t="s">
        <v>189</v>
      </c>
      <c r="C47" s="18" t="s">
        <v>190</v>
      </c>
      <c r="D47" s="19" t="s">
        <v>37</v>
      </c>
      <c r="E47" s="20" t="s">
        <v>261</v>
      </c>
      <c r="F47" s="21" t="s">
        <v>32</v>
      </c>
      <c r="K47" s="412">
        <f t="shared" si="3"/>
        <v>0</v>
      </c>
      <c r="L47" s="417">
        <v>0</v>
      </c>
      <c r="M47" s="417">
        <v>155</v>
      </c>
      <c r="N47" s="4">
        <v>0</v>
      </c>
      <c r="O47" s="17" t="s">
        <v>270</v>
      </c>
      <c r="P47" s="17" t="s">
        <v>270</v>
      </c>
      <c r="Q47" s="18" t="s">
        <v>271</v>
      </c>
      <c r="R47" s="19" t="s">
        <v>24</v>
      </c>
      <c r="S47" s="20" t="s">
        <v>272</v>
      </c>
      <c r="T47" s="21" t="s">
        <v>26</v>
      </c>
      <c r="U47" s="10">
        <v>1.0620000000000001</v>
      </c>
      <c r="V47" s="10">
        <v>1.0429999999999999</v>
      </c>
      <c r="W47" s="11">
        <v>0.25</v>
      </c>
      <c r="X47" s="11">
        <v>0.75</v>
      </c>
      <c r="Y47" s="11">
        <f t="shared" si="0"/>
        <v>1.04775</v>
      </c>
      <c r="Z47" s="11" t="s">
        <v>33</v>
      </c>
      <c r="AA47" s="11" t="s">
        <v>33</v>
      </c>
      <c r="AC47" s="39" t="s">
        <v>273</v>
      </c>
      <c r="AD47" s="26" t="s">
        <v>189</v>
      </c>
      <c r="AE47" s="27" t="s">
        <v>190</v>
      </c>
      <c r="AF47" s="28" t="s">
        <v>268</v>
      </c>
      <c r="AG47" s="29" t="s">
        <v>269</v>
      </c>
      <c r="AH47" s="26" t="s">
        <v>32</v>
      </c>
      <c r="AI47" s="30">
        <v>1</v>
      </c>
      <c r="AJ47" s="30" t="s">
        <v>34</v>
      </c>
      <c r="AK47" s="31">
        <v>1956</v>
      </c>
      <c r="AM47" s="26" t="s">
        <v>196</v>
      </c>
      <c r="AN47" s="27" t="s">
        <v>197</v>
      </c>
      <c r="AO47" s="28" t="s">
        <v>24</v>
      </c>
      <c r="AP47" s="29" t="s">
        <v>198</v>
      </c>
      <c r="AQ47" s="26" t="s">
        <v>26</v>
      </c>
      <c r="AR47" s="32">
        <v>2324585.9900000002</v>
      </c>
    </row>
    <row r="48" spans="1:44" ht="14.4">
      <c r="A48" s="24" t="s">
        <v>273</v>
      </c>
      <c r="B48" s="17" t="s">
        <v>189</v>
      </c>
      <c r="C48" s="18" t="s">
        <v>190</v>
      </c>
      <c r="D48" s="19" t="s">
        <v>268</v>
      </c>
      <c r="E48" s="20" t="s">
        <v>269</v>
      </c>
      <c r="F48" s="21" t="s">
        <v>32</v>
      </c>
      <c r="K48" s="412">
        <f t="shared" si="3"/>
        <v>0</v>
      </c>
      <c r="L48" s="417">
        <v>0</v>
      </c>
      <c r="M48" s="417">
        <v>1106</v>
      </c>
      <c r="N48" s="4">
        <v>0</v>
      </c>
      <c r="O48" s="24" t="s">
        <v>274</v>
      </c>
      <c r="P48" s="17" t="s">
        <v>270</v>
      </c>
      <c r="Q48" s="18" t="s">
        <v>271</v>
      </c>
      <c r="R48" s="19" t="s">
        <v>131</v>
      </c>
      <c r="S48" s="20" t="s">
        <v>275</v>
      </c>
      <c r="T48" s="21" t="s">
        <v>32</v>
      </c>
      <c r="U48" s="10">
        <v>1.105</v>
      </c>
      <c r="V48" s="10">
        <v>1.012</v>
      </c>
      <c r="W48" s="11">
        <v>0.25</v>
      </c>
      <c r="X48" s="11">
        <v>0.75</v>
      </c>
      <c r="Y48" s="11">
        <f t="shared" si="0"/>
        <v>1.03525</v>
      </c>
      <c r="Z48" s="11" t="s">
        <v>33</v>
      </c>
      <c r="AA48" s="11" t="s">
        <v>33</v>
      </c>
      <c r="AC48" s="40" t="s">
        <v>276</v>
      </c>
      <c r="AD48" s="40" t="s">
        <v>189</v>
      </c>
      <c r="AE48" s="41"/>
      <c r="AF48" s="40"/>
      <c r="AG48" s="40" t="s">
        <v>234</v>
      </c>
      <c r="AH48" s="40"/>
      <c r="AI48" s="42">
        <v>2</v>
      </c>
      <c r="AJ48" s="40"/>
      <c r="AK48" s="44">
        <v>8691</v>
      </c>
      <c r="AM48" s="26" t="s">
        <v>203</v>
      </c>
      <c r="AN48" s="27" t="s">
        <v>204</v>
      </c>
      <c r="AO48" s="28" t="s">
        <v>24</v>
      </c>
      <c r="AP48" s="29" t="s">
        <v>205</v>
      </c>
      <c r="AQ48" s="26" t="s">
        <v>26</v>
      </c>
      <c r="AR48" s="32">
        <v>40109673.490000002</v>
      </c>
    </row>
    <row r="49" spans="1:44" ht="14.4">
      <c r="A49" s="45" t="s">
        <v>276</v>
      </c>
      <c r="B49" s="45" t="s">
        <v>189</v>
      </c>
      <c r="C49" s="46"/>
      <c r="D49" s="45"/>
      <c r="E49" s="45" t="s">
        <v>234</v>
      </c>
      <c r="F49" s="45"/>
      <c r="K49" s="42">
        <v>898</v>
      </c>
      <c r="L49" s="418">
        <v>898</v>
      </c>
      <c r="M49" s="418"/>
      <c r="N49" s="4">
        <v>898</v>
      </c>
      <c r="O49" s="17" t="s">
        <v>277</v>
      </c>
      <c r="P49" s="17" t="s">
        <v>277</v>
      </c>
      <c r="Q49" s="18" t="s">
        <v>278</v>
      </c>
      <c r="R49" s="19" t="s">
        <v>24</v>
      </c>
      <c r="S49" s="20" t="s">
        <v>279</v>
      </c>
      <c r="T49" s="21" t="s">
        <v>26</v>
      </c>
      <c r="U49" s="10">
        <v>1.0669999999999999</v>
      </c>
      <c r="V49" s="10">
        <v>1.081</v>
      </c>
      <c r="W49" s="11">
        <v>0.25</v>
      </c>
      <c r="X49" s="11">
        <v>0.75</v>
      </c>
      <c r="Y49" s="11">
        <f t="shared" si="0"/>
        <v>1.0774999999999999</v>
      </c>
      <c r="Z49" s="11" t="s">
        <v>33</v>
      </c>
      <c r="AA49" s="11" t="s">
        <v>33</v>
      </c>
      <c r="AC49" s="26" t="s">
        <v>196</v>
      </c>
      <c r="AD49" s="26" t="s">
        <v>196</v>
      </c>
      <c r="AE49" s="27" t="s">
        <v>197</v>
      </c>
      <c r="AF49" s="28" t="s">
        <v>24</v>
      </c>
      <c r="AG49" s="29" t="s">
        <v>198</v>
      </c>
      <c r="AH49" s="26" t="s">
        <v>26</v>
      </c>
      <c r="AI49" s="30">
        <v>0</v>
      </c>
      <c r="AJ49" s="30" t="s">
        <v>34</v>
      </c>
      <c r="AK49" s="31">
        <v>138.5</v>
      </c>
      <c r="AM49" s="39" t="s">
        <v>280</v>
      </c>
      <c r="AN49" s="27" t="s">
        <v>204</v>
      </c>
      <c r="AO49" s="28" t="s">
        <v>281</v>
      </c>
      <c r="AP49" s="29" t="s">
        <v>282</v>
      </c>
      <c r="AQ49" s="26" t="s">
        <v>32</v>
      </c>
      <c r="AR49" s="32">
        <v>225245.6</v>
      </c>
    </row>
    <row r="50" spans="1:44" ht="14.4">
      <c r="A50" s="17" t="s">
        <v>196</v>
      </c>
      <c r="B50" s="17" t="s">
        <v>196</v>
      </c>
      <c r="C50" s="18" t="s">
        <v>197</v>
      </c>
      <c r="D50" s="19" t="s">
        <v>24</v>
      </c>
      <c r="E50" s="20" t="s">
        <v>198</v>
      </c>
      <c r="F50" s="21" t="s">
        <v>26</v>
      </c>
      <c r="G50" s="22">
        <v>1534</v>
      </c>
      <c r="H50" s="22">
        <v>0</v>
      </c>
      <c r="I50" s="22">
        <v>1534</v>
      </c>
      <c r="J50" s="23">
        <v>1</v>
      </c>
      <c r="K50" s="412">
        <f t="shared" ref="K50:K52" si="4">MIN($L50,MAX($M50,$N50))</f>
        <v>65</v>
      </c>
      <c r="L50" s="417">
        <v>65</v>
      </c>
      <c r="M50" s="417">
        <v>65</v>
      </c>
      <c r="N50" s="4">
        <v>62</v>
      </c>
      <c r="O50" s="17" t="s">
        <v>283</v>
      </c>
      <c r="P50" s="17" t="s">
        <v>283</v>
      </c>
      <c r="Q50" s="18" t="s">
        <v>131</v>
      </c>
      <c r="R50" s="19" t="s">
        <v>24</v>
      </c>
      <c r="S50" s="20" t="s">
        <v>284</v>
      </c>
      <c r="T50" s="21" t="s">
        <v>26</v>
      </c>
      <c r="U50" s="10">
        <v>1.0980000000000001</v>
      </c>
      <c r="V50" s="10">
        <v>1.071</v>
      </c>
      <c r="W50" s="11">
        <v>0.25</v>
      </c>
      <c r="X50" s="11">
        <v>0.75</v>
      </c>
      <c r="Y50" s="11">
        <f t="shared" si="0"/>
        <v>1.07775</v>
      </c>
      <c r="Z50" s="11" t="s">
        <v>33</v>
      </c>
      <c r="AA50" s="11" t="s">
        <v>33</v>
      </c>
      <c r="AC50" s="26" t="s">
        <v>203</v>
      </c>
      <c r="AD50" s="26" t="s">
        <v>203</v>
      </c>
      <c r="AE50" s="27" t="s">
        <v>204</v>
      </c>
      <c r="AF50" s="28" t="s">
        <v>24</v>
      </c>
      <c r="AG50" s="29" t="s">
        <v>205</v>
      </c>
      <c r="AH50" s="26" t="s">
        <v>26</v>
      </c>
      <c r="AI50" s="30">
        <v>3</v>
      </c>
      <c r="AJ50" s="30" t="s">
        <v>34</v>
      </c>
      <c r="AK50" s="31">
        <v>5038</v>
      </c>
      <c r="AM50" s="26" t="s">
        <v>285</v>
      </c>
      <c r="AN50" s="27" t="s">
        <v>217</v>
      </c>
      <c r="AO50" s="28" t="s">
        <v>24</v>
      </c>
      <c r="AP50" s="29" t="s">
        <v>218</v>
      </c>
      <c r="AQ50" s="26" t="s">
        <v>26</v>
      </c>
      <c r="AR50" s="32">
        <v>5377459.9500000002</v>
      </c>
    </row>
    <row r="51" spans="1:44" ht="14.4">
      <c r="A51" s="17" t="s">
        <v>203</v>
      </c>
      <c r="B51" s="17" t="s">
        <v>203</v>
      </c>
      <c r="C51" s="18" t="s">
        <v>204</v>
      </c>
      <c r="D51" s="19" t="s">
        <v>24</v>
      </c>
      <c r="E51" s="20" t="s">
        <v>205</v>
      </c>
      <c r="F51" s="21" t="s">
        <v>26</v>
      </c>
      <c r="G51" s="22">
        <v>33082</v>
      </c>
      <c r="H51" s="22">
        <v>14869</v>
      </c>
      <c r="I51" s="22">
        <v>18213</v>
      </c>
      <c r="J51" s="23">
        <v>0.550541079741249</v>
      </c>
      <c r="K51" s="412">
        <f t="shared" si="4"/>
        <v>2005</v>
      </c>
      <c r="L51" s="417">
        <v>2005</v>
      </c>
      <c r="M51" s="417">
        <v>2399.5</v>
      </c>
      <c r="N51" s="4">
        <v>2005</v>
      </c>
      <c r="O51" s="24" t="s">
        <v>92</v>
      </c>
      <c r="P51" s="17" t="s">
        <v>36</v>
      </c>
      <c r="Q51" s="18" t="s">
        <v>37</v>
      </c>
      <c r="R51" s="19" t="s">
        <v>93</v>
      </c>
      <c r="S51" s="20" t="s">
        <v>94</v>
      </c>
      <c r="T51" s="21" t="s">
        <v>32</v>
      </c>
      <c r="U51" s="10">
        <v>1.117</v>
      </c>
      <c r="V51" s="10">
        <v>1.071</v>
      </c>
      <c r="W51" s="11">
        <v>0.25</v>
      </c>
      <c r="X51" s="11">
        <v>0.75</v>
      </c>
      <c r="Y51" s="11">
        <f t="shared" si="0"/>
        <v>1.0825</v>
      </c>
      <c r="Z51" s="11" t="s">
        <v>33</v>
      </c>
      <c r="AA51" s="11" t="s">
        <v>33</v>
      </c>
      <c r="AC51" s="39" t="s">
        <v>286</v>
      </c>
      <c r="AD51" s="26" t="s">
        <v>203</v>
      </c>
      <c r="AE51" s="27" t="s">
        <v>204</v>
      </c>
      <c r="AF51" s="28" t="s">
        <v>281</v>
      </c>
      <c r="AG51" s="29" t="s">
        <v>282</v>
      </c>
      <c r="AH51" s="26" t="s">
        <v>32</v>
      </c>
      <c r="AI51" s="30">
        <v>0</v>
      </c>
      <c r="AJ51" s="30" t="s">
        <v>34</v>
      </c>
      <c r="AK51" s="31">
        <v>28</v>
      </c>
      <c r="AM51" s="26" t="s">
        <v>230</v>
      </c>
      <c r="AN51" s="27" t="s">
        <v>231</v>
      </c>
      <c r="AO51" s="28" t="s">
        <v>24</v>
      </c>
      <c r="AP51" s="29" t="s">
        <v>232</v>
      </c>
      <c r="AQ51" s="26" t="s">
        <v>26</v>
      </c>
      <c r="AR51" s="32">
        <v>4458090.7699999996</v>
      </c>
    </row>
    <row r="52" spans="1:44" ht="14.4">
      <c r="A52" s="24" t="s">
        <v>286</v>
      </c>
      <c r="B52" s="17" t="s">
        <v>203</v>
      </c>
      <c r="C52" s="18" t="s">
        <v>204</v>
      </c>
      <c r="D52" s="19" t="s">
        <v>281</v>
      </c>
      <c r="E52" s="20" t="s">
        <v>282</v>
      </c>
      <c r="F52" s="21" t="s">
        <v>32</v>
      </c>
      <c r="K52" s="412">
        <f t="shared" si="4"/>
        <v>0</v>
      </c>
      <c r="L52" s="417">
        <v>0</v>
      </c>
      <c r="M52" s="417">
        <v>28.5</v>
      </c>
      <c r="N52" s="4">
        <v>0</v>
      </c>
      <c r="O52" s="17" t="s">
        <v>287</v>
      </c>
      <c r="P52" s="17" t="s">
        <v>287</v>
      </c>
      <c r="Q52" s="18" t="s">
        <v>288</v>
      </c>
      <c r="R52" s="19" t="s">
        <v>24</v>
      </c>
      <c r="S52" s="20" t="s">
        <v>289</v>
      </c>
      <c r="T52" s="21" t="s">
        <v>26</v>
      </c>
      <c r="U52" s="10">
        <v>1.194</v>
      </c>
      <c r="V52" s="10">
        <v>1.1859999999999999</v>
      </c>
      <c r="W52" s="11">
        <v>0.25</v>
      </c>
      <c r="X52" s="11">
        <v>0.75</v>
      </c>
      <c r="Y52" s="11">
        <f t="shared" si="0"/>
        <v>1.1879999999999999</v>
      </c>
      <c r="Z52" s="11" t="s">
        <v>33</v>
      </c>
      <c r="AA52" s="11" t="s">
        <v>33</v>
      </c>
      <c r="AC52" s="40" t="s">
        <v>290</v>
      </c>
      <c r="AD52" s="40" t="s">
        <v>203</v>
      </c>
      <c r="AE52" s="41"/>
      <c r="AF52" s="40"/>
      <c r="AG52" s="40" t="s">
        <v>234</v>
      </c>
      <c r="AH52" s="40"/>
      <c r="AI52" s="42">
        <v>3</v>
      </c>
      <c r="AJ52" s="40"/>
      <c r="AK52" s="44">
        <v>5066</v>
      </c>
      <c r="AM52" s="39" t="s">
        <v>291</v>
      </c>
      <c r="AN52" s="27" t="s">
        <v>231</v>
      </c>
      <c r="AO52" s="28" t="s">
        <v>255</v>
      </c>
      <c r="AP52" s="29" t="s">
        <v>292</v>
      </c>
      <c r="AQ52" s="26" t="s">
        <v>32</v>
      </c>
      <c r="AR52" s="32">
        <v>944138.18</v>
      </c>
    </row>
    <row r="53" spans="1:44" ht="14.4">
      <c r="A53" s="45" t="s">
        <v>290</v>
      </c>
      <c r="B53" s="45" t="s">
        <v>203</v>
      </c>
      <c r="C53" s="46"/>
      <c r="D53" s="45"/>
      <c r="E53" s="45" t="s">
        <v>234</v>
      </c>
      <c r="F53" s="45"/>
      <c r="K53" s="42">
        <v>2005</v>
      </c>
      <c r="L53" s="418">
        <v>2005</v>
      </c>
      <c r="M53" s="418"/>
      <c r="N53" s="4">
        <v>2005</v>
      </c>
      <c r="O53" s="24" t="s">
        <v>286</v>
      </c>
      <c r="P53" s="17" t="s">
        <v>203</v>
      </c>
      <c r="Q53" s="18" t="s">
        <v>204</v>
      </c>
      <c r="R53" s="19" t="s">
        <v>281</v>
      </c>
      <c r="S53" s="20" t="s">
        <v>282</v>
      </c>
      <c r="T53" s="21" t="s">
        <v>32</v>
      </c>
      <c r="U53" s="10">
        <v>1.2330000000000001</v>
      </c>
      <c r="V53" s="10">
        <v>1.0740000000000001</v>
      </c>
      <c r="W53" s="11">
        <v>0.25</v>
      </c>
      <c r="X53" s="11">
        <v>0.75</v>
      </c>
      <c r="Y53" s="11">
        <f t="shared" si="0"/>
        <v>1.11375</v>
      </c>
      <c r="Z53" s="11" t="s">
        <v>33</v>
      </c>
      <c r="AA53" s="11" t="s">
        <v>33</v>
      </c>
      <c r="AC53" s="26" t="s">
        <v>216</v>
      </c>
      <c r="AD53" s="26" t="s">
        <v>216</v>
      </c>
      <c r="AE53" s="27" t="s">
        <v>217</v>
      </c>
      <c r="AF53" s="28" t="s">
        <v>24</v>
      </c>
      <c r="AG53" s="29" t="s">
        <v>218</v>
      </c>
      <c r="AH53" s="26" t="s">
        <v>26</v>
      </c>
      <c r="AI53" s="30">
        <v>0</v>
      </c>
      <c r="AJ53" s="30" t="s">
        <v>34</v>
      </c>
      <c r="AK53" s="31">
        <v>363</v>
      </c>
      <c r="AM53" s="26" t="s">
        <v>235</v>
      </c>
      <c r="AN53" s="27" t="s">
        <v>236</v>
      </c>
      <c r="AO53" s="28" t="s">
        <v>24</v>
      </c>
      <c r="AP53" s="29" t="s">
        <v>237</v>
      </c>
      <c r="AQ53" s="26" t="s">
        <v>26</v>
      </c>
      <c r="AR53" s="32">
        <v>5280229.09</v>
      </c>
    </row>
    <row r="54" spans="1:44" ht="14.4">
      <c r="A54" s="17" t="s">
        <v>216</v>
      </c>
      <c r="B54" s="17" t="s">
        <v>216</v>
      </c>
      <c r="C54" s="18" t="s">
        <v>217</v>
      </c>
      <c r="D54" s="19" t="s">
        <v>24</v>
      </c>
      <c r="E54" s="20" t="s">
        <v>218</v>
      </c>
      <c r="F54" s="21" t="s">
        <v>26</v>
      </c>
      <c r="G54" s="22">
        <v>2918</v>
      </c>
      <c r="H54" s="22">
        <v>0</v>
      </c>
      <c r="I54" s="22">
        <v>2918</v>
      </c>
      <c r="J54" s="23">
        <v>1</v>
      </c>
      <c r="K54" s="412">
        <f t="shared" ref="K54:K56" si="5">MIN($L54,MAX($M54,$N54))</f>
        <v>210</v>
      </c>
      <c r="L54" s="417">
        <v>210</v>
      </c>
      <c r="M54" s="417">
        <v>182.5</v>
      </c>
      <c r="N54" s="4">
        <v>210</v>
      </c>
      <c r="O54" s="17" t="s">
        <v>293</v>
      </c>
      <c r="P54" s="17" t="s">
        <v>293</v>
      </c>
      <c r="Q54" s="18" t="s">
        <v>294</v>
      </c>
      <c r="R54" s="19" t="s">
        <v>24</v>
      </c>
      <c r="S54" s="20" t="s">
        <v>295</v>
      </c>
      <c r="T54" s="21" t="s">
        <v>26</v>
      </c>
      <c r="U54" s="10">
        <v>1.1779999999999999</v>
      </c>
      <c r="V54" s="10">
        <v>1.105</v>
      </c>
      <c r="W54" s="11">
        <v>0.25</v>
      </c>
      <c r="X54" s="11">
        <v>0.75</v>
      </c>
      <c r="Y54" s="11">
        <f t="shared" si="0"/>
        <v>1.1232500000000001</v>
      </c>
      <c r="Z54" s="11" t="s">
        <v>33</v>
      </c>
      <c r="AA54" s="11" t="s">
        <v>33</v>
      </c>
      <c r="AC54" s="26" t="s">
        <v>230</v>
      </c>
      <c r="AD54" s="26" t="s">
        <v>230</v>
      </c>
      <c r="AE54" s="27" t="s">
        <v>231</v>
      </c>
      <c r="AF54" s="28" t="s">
        <v>24</v>
      </c>
      <c r="AG54" s="29" t="s">
        <v>232</v>
      </c>
      <c r="AH54" s="26" t="s">
        <v>26</v>
      </c>
      <c r="AI54" s="30">
        <v>1</v>
      </c>
      <c r="AJ54" s="30" t="s">
        <v>34</v>
      </c>
      <c r="AK54" s="31">
        <v>319.5</v>
      </c>
      <c r="AM54" s="26" t="s">
        <v>238</v>
      </c>
      <c r="AN54" s="27" t="s">
        <v>239</v>
      </c>
      <c r="AO54" s="28" t="s">
        <v>24</v>
      </c>
      <c r="AP54" s="29" t="s">
        <v>240</v>
      </c>
      <c r="AQ54" s="26" t="s">
        <v>26</v>
      </c>
      <c r="AR54" s="32">
        <v>4838292.4400000004</v>
      </c>
    </row>
    <row r="55" spans="1:44" ht="14.4">
      <c r="A55" s="17" t="s">
        <v>230</v>
      </c>
      <c r="B55" s="17" t="s">
        <v>230</v>
      </c>
      <c r="C55" s="18" t="s">
        <v>231</v>
      </c>
      <c r="D55" s="19" t="s">
        <v>24</v>
      </c>
      <c r="E55" s="20" t="s">
        <v>232</v>
      </c>
      <c r="F55" s="21" t="s">
        <v>26</v>
      </c>
      <c r="G55" s="22">
        <v>3531</v>
      </c>
      <c r="H55" s="22">
        <v>0</v>
      </c>
      <c r="I55" s="22">
        <v>3531</v>
      </c>
      <c r="J55" s="23">
        <v>1</v>
      </c>
      <c r="K55" s="412">
        <f t="shared" si="5"/>
        <v>57</v>
      </c>
      <c r="L55" s="417">
        <v>57</v>
      </c>
      <c r="M55" s="417">
        <v>189</v>
      </c>
      <c r="N55" s="4">
        <v>57</v>
      </c>
      <c r="O55" s="24" t="s">
        <v>100</v>
      </c>
      <c r="P55" s="17" t="s">
        <v>36</v>
      </c>
      <c r="Q55" s="18" t="s">
        <v>37</v>
      </c>
      <c r="R55" s="19" t="s">
        <v>30</v>
      </c>
      <c r="S55" s="20" t="s">
        <v>101</v>
      </c>
      <c r="T55" s="21" t="s">
        <v>32</v>
      </c>
      <c r="U55" s="10">
        <v>1.133</v>
      </c>
      <c r="V55" s="10">
        <v>1.1559999999999999</v>
      </c>
      <c r="W55" s="11">
        <v>0.25</v>
      </c>
      <c r="X55" s="11">
        <v>0.75</v>
      </c>
      <c r="Y55" s="11">
        <f t="shared" si="0"/>
        <v>1.15025</v>
      </c>
      <c r="Z55" s="11" t="s">
        <v>33</v>
      </c>
      <c r="AA55" s="11" t="s">
        <v>33</v>
      </c>
      <c r="AC55" s="39" t="s">
        <v>291</v>
      </c>
      <c r="AD55" s="26" t="s">
        <v>230</v>
      </c>
      <c r="AE55" s="27" t="s">
        <v>231</v>
      </c>
      <c r="AF55" s="28" t="s">
        <v>255</v>
      </c>
      <c r="AG55" s="29" t="s">
        <v>292</v>
      </c>
      <c r="AH55" s="26" t="s">
        <v>32</v>
      </c>
      <c r="AI55" s="30">
        <v>0</v>
      </c>
      <c r="AJ55" s="30" t="s">
        <v>34</v>
      </c>
      <c r="AK55" s="31">
        <v>62</v>
      </c>
      <c r="AM55" s="26" t="s">
        <v>241</v>
      </c>
      <c r="AN55" s="27" t="s">
        <v>242</v>
      </c>
      <c r="AO55" s="28" t="s">
        <v>24</v>
      </c>
      <c r="AP55" s="29" t="s">
        <v>243</v>
      </c>
      <c r="AQ55" s="26" t="s">
        <v>26</v>
      </c>
      <c r="AR55" s="32">
        <v>65723940.490000002</v>
      </c>
    </row>
    <row r="56" spans="1:44" ht="14.4">
      <c r="A56" s="24" t="s">
        <v>291</v>
      </c>
      <c r="B56" s="17" t="s">
        <v>230</v>
      </c>
      <c r="C56" s="18" t="s">
        <v>231</v>
      </c>
      <c r="D56" s="19" t="s">
        <v>255</v>
      </c>
      <c r="E56" s="20" t="s">
        <v>292</v>
      </c>
      <c r="F56" s="21" t="s">
        <v>32</v>
      </c>
      <c r="K56" s="412">
        <f t="shared" si="5"/>
        <v>0</v>
      </c>
      <c r="L56" s="417">
        <v>0</v>
      </c>
      <c r="M56" s="417">
        <v>0</v>
      </c>
      <c r="N56" s="4">
        <v>0</v>
      </c>
      <c r="O56" s="24" t="s">
        <v>103</v>
      </c>
      <c r="P56" s="17" t="s">
        <v>36</v>
      </c>
      <c r="Q56" s="18" t="s">
        <v>37</v>
      </c>
      <c r="R56" s="19" t="s">
        <v>104</v>
      </c>
      <c r="S56" s="20" t="s">
        <v>105</v>
      </c>
      <c r="T56" s="21" t="s">
        <v>32</v>
      </c>
      <c r="U56" s="10">
        <v>1.0069999999999999</v>
      </c>
      <c r="V56" s="10" t="s">
        <v>42</v>
      </c>
      <c r="W56" s="11">
        <v>0.25</v>
      </c>
      <c r="X56" s="11">
        <v>0.75</v>
      </c>
      <c r="Y56" s="11">
        <f t="shared" si="0"/>
        <v>1.0017499999999999</v>
      </c>
      <c r="Z56" s="11" t="s">
        <v>33</v>
      </c>
      <c r="AA56" s="11" t="s">
        <v>33</v>
      </c>
      <c r="AC56" s="40" t="s">
        <v>296</v>
      </c>
      <c r="AD56" s="40" t="s">
        <v>230</v>
      </c>
      <c r="AE56" s="41"/>
      <c r="AF56" s="40"/>
      <c r="AG56" s="40" t="s">
        <v>234</v>
      </c>
      <c r="AH56" s="40"/>
      <c r="AI56" s="42">
        <v>1</v>
      </c>
      <c r="AJ56" s="40"/>
      <c r="AK56" s="44">
        <v>381.5</v>
      </c>
      <c r="AM56" s="26" t="s">
        <v>244</v>
      </c>
      <c r="AN56" s="27" t="s">
        <v>30</v>
      </c>
      <c r="AO56" s="28" t="s">
        <v>24</v>
      </c>
      <c r="AP56" s="29" t="s">
        <v>245</v>
      </c>
      <c r="AQ56" s="26" t="s">
        <v>26</v>
      </c>
      <c r="AR56" s="32">
        <v>14003457.970000001</v>
      </c>
    </row>
    <row r="57" spans="1:44" ht="14.4">
      <c r="A57" s="45" t="s">
        <v>296</v>
      </c>
      <c r="B57" s="45" t="s">
        <v>230</v>
      </c>
      <c r="C57" s="46"/>
      <c r="D57" s="45"/>
      <c r="E57" s="45" t="s">
        <v>234</v>
      </c>
      <c r="F57" s="45"/>
      <c r="K57" s="42">
        <v>57</v>
      </c>
      <c r="L57" s="418">
        <v>57</v>
      </c>
      <c r="M57" s="418"/>
      <c r="N57" s="4">
        <v>57</v>
      </c>
      <c r="O57" s="17" t="s">
        <v>297</v>
      </c>
      <c r="P57" s="17" t="s">
        <v>297</v>
      </c>
      <c r="Q57" s="18" t="s">
        <v>298</v>
      </c>
      <c r="R57" s="19" t="s">
        <v>24</v>
      </c>
      <c r="S57" s="20" t="s">
        <v>299</v>
      </c>
      <c r="T57" s="21" t="s">
        <v>26</v>
      </c>
      <c r="U57" s="10">
        <v>1.097</v>
      </c>
      <c r="V57" s="10">
        <v>1.111</v>
      </c>
      <c r="W57" s="11">
        <v>0.25</v>
      </c>
      <c r="X57" s="11">
        <v>0.75</v>
      </c>
      <c r="Y57" s="11">
        <f t="shared" si="0"/>
        <v>1.1074999999999999</v>
      </c>
      <c r="Z57" s="11" t="s">
        <v>33</v>
      </c>
      <c r="AA57" s="11" t="s">
        <v>33</v>
      </c>
      <c r="AC57" s="26" t="s">
        <v>235</v>
      </c>
      <c r="AD57" s="26" t="s">
        <v>235</v>
      </c>
      <c r="AE57" s="27" t="s">
        <v>236</v>
      </c>
      <c r="AF57" s="28" t="s">
        <v>24</v>
      </c>
      <c r="AG57" s="29" t="s">
        <v>237</v>
      </c>
      <c r="AH57" s="26" t="s">
        <v>26</v>
      </c>
      <c r="AI57" s="30">
        <v>0</v>
      </c>
      <c r="AJ57" s="30" t="s">
        <v>34</v>
      </c>
      <c r="AK57" s="31">
        <v>385.5</v>
      </c>
      <c r="AM57" s="26" t="s">
        <v>249</v>
      </c>
      <c r="AN57" s="27" t="s">
        <v>250</v>
      </c>
      <c r="AO57" s="28" t="s">
        <v>24</v>
      </c>
      <c r="AP57" s="29" t="s">
        <v>251</v>
      </c>
      <c r="AQ57" s="26" t="s">
        <v>26</v>
      </c>
      <c r="AR57" s="32">
        <v>1621047.65</v>
      </c>
    </row>
    <row r="58" spans="1:44" ht="14.4">
      <c r="A58" s="17" t="s">
        <v>235</v>
      </c>
      <c r="B58" s="17" t="s">
        <v>235</v>
      </c>
      <c r="C58" s="18" t="s">
        <v>236</v>
      </c>
      <c r="D58" s="19" t="s">
        <v>24</v>
      </c>
      <c r="E58" s="20" t="s">
        <v>237</v>
      </c>
      <c r="F58" s="21" t="s">
        <v>26</v>
      </c>
      <c r="G58" s="22">
        <v>3976</v>
      </c>
      <c r="H58" s="22">
        <v>0</v>
      </c>
      <c r="I58" s="22">
        <v>3976</v>
      </c>
      <c r="J58" s="23">
        <v>1</v>
      </c>
      <c r="K58" s="412">
        <f t="shared" ref="K58:K65" si="6">MIN($L58,MAX($M58,$N58))</f>
        <v>0</v>
      </c>
      <c r="L58" s="417">
        <v>0</v>
      </c>
      <c r="M58" s="417">
        <v>187.5</v>
      </c>
      <c r="N58" s="4">
        <v>0</v>
      </c>
      <c r="O58" s="17" t="s">
        <v>300</v>
      </c>
      <c r="P58" s="17" t="s">
        <v>300</v>
      </c>
      <c r="Q58" s="18" t="s">
        <v>301</v>
      </c>
      <c r="R58" s="19" t="s">
        <v>24</v>
      </c>
      <c r="S58" s="20" t="s">
        <v>302</v>
      </c>
      <c r="T58" s="21" t="s">
        <v>26</v>
      </c>
      <c r="U58" s="10">
        <v>1.1140000000000001</v>
      </c>
      <c r="V58" s="10">
        <v>1.089</v>
      </c>
      <c r="W58" s="11">
        <v>0.25</v>
      </c>
      <c r="X58" s="11">
        <v>0.75</v>
      </c>
      <c r="Y58" s="11">
        <f t="shared" si="0"/>
        <v>1.0952500000000001</v>
      </c>
      <c r="Z58" s="11" t="s">
        <v>33</v>
      </c>
      <c r="AA58" s="11" t="s">
        <v>33</v>
      </c>
      <c r="AC58" s="26" t="s">
        <v>238</v>
      </c>
      <c r="AD58" s="26" t="s">
        <v>238</v>
      </c>
      <c r="AE58" s="27" t="s">
        <v>239</v>
      </c>
      <c r="AF58" s="28" t="s">
        <v>24</v>
      </c>
      <c r="AG58" s="29" t="s">
        <v>240</v>
      </c>
      <c r="AH58" s="26" t="s">
        <v>26</v>
      </c>
      <c r="AI58" s="30">
        <v>0</v>
      </c>
      <c r="AJ58" s="30" t="s">
        <v>34</v>
      </c>
      <c r="AK58" s="31">
        <v>367.5</v>
      </c>
      <c r="AM58" s="26" t="s">
        <v>257</v>
      </c>
      <c r="AN58" s="27" t="s">
        <v>258</v>
      </c>
      <c r="AO58" s="28" t="s">
        <v>24</v>
      </c>
      <c r="AP58" s="29" t="s">
        <v>259</v>
      </c>
      <c r="AQ58" s="26" t="s">
        <v>26</v>
      </c>
      <c r="AR58" s="32">
        <v>7316297.7300000004</v>
      </c>
    </row>
    <row r="59" spans="1:44" ht="14.4">
      <c r="A59" s="17" t="s">
        <v>238</v>
      </c>
      <c r="B59" s="17" t="s">
        <v>238</v>
      </c>
      <c r="C59" s="18" t="s">
        <v>239</v>
      </c>
      <c r="D59" s="19" t="s">
        <v>24</v>
      </c>
      <c r="E59" s="20" t="s">
        <v>240</v>
      </c>
      <c r="F59" s="21" t="s">
        <v>26</v>
      </c>
      <c r="G59" s="22">
        <v>2993</v>
      </c>
      <c r="H59" s="22">
        <v>0</v>
      </c>
      <c r="I59" s="22">
        <v>2993</v>
      </c>
      <c r="J59" s="23">
        <v>1</v>
      </c>
      <c r="K59" s="412">
        <f t="shared" si="6"/>
        <v>0</v>
      </c>
      <c r="L59" s="417">
        <v>0</v>
      </c>
      <c r="M59" s="417">
        <v>175.5</v>
      </c>
      <c r="N59" s="4">
        <v>0</v>
      </c>
      <c r="O59" s="17" t="s">
        <v>303</v>
      </c>
      <c r="P59" s="17" t="s">
        <v>303</v>
      </c>
      <c r="Q59" s="18" t="s">
        <v>304</v>
      </c>
      <c r="R59" s="19" t="s">
        <v>24</v>
      </c>
      <c r="S59" s="20" t="s">
        <v>305</v>
      </c>
      <c r="T59" s="21" t="s">
        <v>26</v>
      </c>
      <c r="U59" s="10">
        <v>1.0820000000000001</v>
      </c>
      <c r="V59" s="10">
        <v>1.1339999999999999</v>
      </c>
      <c r="W59" s="11">
        <v>0.25</v>
      </c>
      <c r="X59" s="11">
        <v>0.75</v>
      </c>
      <c r="Y59" s="11">
        <f t="shared" si="0"/>
        <v>1.121</v>
      </c>
      <c r="Z59" s="11" t="s">
        <v>33</v>
      </c>
      <c r="AA59" s="11" t="s">
        <v>33</v>
      </c>
      <c r="AC59" s="26" t="s">
        <v>241</v>
      </c>
      <c r="AD59" s="26" t="s">
        <v>241</v>
      </c>
      <c r="AE59" s="27" t="s">
        <v>242</v>
      </c>
      <c r="AF59" s="28" t="s">
        <v>24</v>
      </c>
      <c r="AG59" s="29" t="s">
        <v>243</v>
      </c>
      <c r="AH59" s="26" t="s">
        <v>26</v>
      </c>
      <c r="AI59" s="30">
        <v>4</v>
      </c>
      <c r="AJ59" s="30" t="s">
        <v>34</v>
      </c>
      <c r="AK59" s="31">
        <v>7558</v>
      </c>
      <c r="AM59" s="26" t="s">
        <v>270</v>
      </c>
      <c r="AN59" s="27" t="s">
        <v>271</v>
      </c>
      <c r="AO59" s="28" t="s">
        <v>24</v>
      </c>
      <c r="AP59" s="29" t="s">
        <v>272</v>
      </c>
      <c r="AQ59" s="26" t="s">
        <v>26</v>
      </c>
      <c r="AR59" s="32">
        <v>48175880.539999999</v>
      </c>
    </row>
    <row r="60" spans="1:44" ht="14.4">
      <c r="A60" s="17" t="s">
        <v>241</v>
      </c>
      <c r="B60" s="17" t="s">
        <v>241</v>
      </c>
      <c r="C60" s="18" t="s">
        <v>242</v>
      </c>
      <c r="D60" s="19" t="s">
        <v>24</v>
      </c>
      <c r="E60" s="20" t="s">
        <v>243</v>
      </c>
      <c r="F60" s="21" t="s">
        <v>26</v>
      </c>
      <c r="G60" s="22">
        <v>45095</v>
      </c>
      <c r="H60" s="22">
        <v>41570</v>
      </c>
      <c r="I60" s="22">
        <v>3525</v>
      </c>
      <c r="J60" s="23">
        <v>7.8168311342720925E-2</v>
      </c>
      <c r="K60" s="412">
        <f t="shared" si="6"/>
        <v>0</v>
      </c>
      <c r="L60" s="417">
        <v>0</v>
      </c>
      <c r="M60" s="417">
        <v>4082.5</v>
      </c>
      <c r="N60" s="4">
        <v>0</v>
      </c>
      <c r="O60" s="35" t="s">
        <v>306</v>
      </c>
      <c r="P60" s="35" t="s">
        <v>307</v>
      </c>
      <c r="Q60" s="36" t="s">
        <v>308</v>
      </c>
      <c r="R60" s="37" t="s">
        <v>37</v>
      </c>
      <c r="S60" s="38" t="s">
        <v>309</v>
      </c>
      <c r="T60" s="35" t="s">
        <v>46</v>
      </c>
      <c r="U60" s="10">
        <v>1.0589999999999999</v>
      </c>
      <c r="V60" s="10">
        <v>1.004</v>
      </c>
      <c r="W60" s="11">
        <v>0.25</v>
      </c>
      <c r="X60" s="11">
        <v>0.75</v>
      </c>
      <c r="Y60" s="11">
        <f t="shared" si="0"/>
        <v>1.0177499999999999</v>
      </c>
      <c r="Z60" s="11" t="s">
        <v>33</v>
      </c>
      <c r="AA60" s="11" t="s">
        <v>33</v>
      </c>
      <c r="AC60" s="26" t="s">
        <v>244</v>
      </c>
      <c r="AD60" s="26" t="s">
        <v>244</v>
      </c>
      <c r="AE60" s="27" t="s">
        <v>30</v>
      </c>
      <c r="AF60" s="28" t="s">
        <v>24</v>
      </c>
      <c r="AG60" s="29" t="s">
        <v>245</v>
      </c>
      <c r="AH60" s="26" t="s">
        <v>26</v>
      </c>
      <c r="AI60" s="30">
        <v>0</v>
      </c>
      <c r="AJ60" s="30" t="s">
        <v>34</v>
      </c>
      <c r="AK60" s="31">
        <v>1028</v>
      </c>
      <c r="AM60" s="39" t="s">
        <v>274</v>
      </c>
      <c r="AN60" s="27" t="s">
        <v>271</v>
      </c>
      <c r="AO60" s="28" t="s">
        <v>131</v>
      </c>
      <c r="AP60" s="29" t="s">
        <v>275</v>
      </c>
      <c r="AQ60" s="26" t="s">
        <v>32</v>
      </c>
      <c r="AR60" s="32">
        <v>1680704.54</v>
      </c>
    </row>
    <row r="61" spans="1:44" ht="14.4">
      <c r="A61" s="17" t="s">
        <v>244</v>
      </c>
      <c r="B61" s="17" t="s">
        <v>244</v>
      </c>
      <c r="C61" s="18" t="s">
        <v>30</v>
      </c>
      <c r="D61" s="19" t="s">
        <v>24</v>
      </c>
      <c r="E61" s="20" t="s">
        <v>245</v>
      </c>
      <c r="F61" s="21" t="s">
        <v>26</v>
      </c>
      <c r="G61" s="22">
        <v>8137</v>
      </c>
      <c r="H61" s="22">
        <v>4309</v>
      </c>
      <c r="I61" s="22">
        <v>3828</v>
      </c>
      <c r="J61" s="23">
        <v>0.47044365245176356</v>
      </c>
      <c r="K61" s="412">
        <f t="shared" si="6"/>
        <v>628</v>
      </c>
      <c r="L61" s="417">
        <v>688</v>
      </c>
      <c r="M61" s="417">
        <v>567</v>
      </c>
      <c r="N61" s="4">
        <v>628</v>
      </c>
      <c r="O61" s="17" t="s">
        <v>310</v>
      </c>
      <c r="P61" s="17" t="s">
        <v>310</v>
      </c>
      <c r="Q61" s="18" t="s">
        <v>311</v>
      </c>
      <c r="R61" s="19" t="s">
        <v>24</v>
      </c>
      <c r="S61" s="20" t="s">
        <v>312</v>
      </c>
      <c r="T61" s="21" t="s">
        <v>26</v>
      </c>
      <c r="U61" s="10">
        <v>1.077</v>
      </c>
      <c r="V61" s="10">
        <v>1.0669999999999999</v>
      </c>
      <c r="W61" s="11">
        <v>0.25</v>
      </c>
      <c r="X61" s="11">
        <v>0.75</v>
      </c>
      <c r="Y61" s="11">
        <f t="shared" si="0"/>
        <v>1.0694999999999999</v>
      </c>
      <c r="Z61" s="11" t="s">
        <v>33</v>
      </c>
      <c r="AA61" s="11" t="s">
        <v>33</v>
      </c>
      <c r="AC61" s="26" t="s">
        <v>249</v>
      </c>
      <c r="AD61" s="26" t="s">
        <v>249</v>
      </c>
      <c r="AE61" s="27" t="s">
        <v>250</v>
      </c>
      <c r="AF61" s="28" t="s">
        <v>24</v>
      </c>
      <c r="AG61" s="29" t="s">
        <v>251</v>
      </c>
      <c r="AH61" s="26" t="s">
        <v>26</v>
      </c>
      <c r="AI61" s="30">
        <v>0</v>
      </c>
      <c r="AJ61" s="30" t="s">
        <v>34</v>
      </c>
      <c r="AK61" s="31">
        <v>63</v>
      </c>
      <c r="AM61" s="26" t="s">
        <v>277</v>
      </c>
      <c r="AN61" s="27" t="s">
        <v>278</v>
      </c>
      <c r="AO61" s="28" t="s">
        <v>24</v>
      </c>
      <c r="AP61" s="29" t="s">
        <v>279</v>
      </c>
      <c r="AQ61" s="26" t="s">
        <v>26</v>
      </c>
      <c r="AR61" s="32">
        <v>1694946.3</v>
      </c>
    </row>
    <row r="62" spans="1:44" ht="14.4">
      <c r="A62" s="17" t="s">
        <v>249</v>
      </c>
      <c r="B62" s="17" t="s">
        <v>249</v>
      </c>
      <c r="C62" s="18" t="s">
        <v>250</v>
      </c>
      <c r="D62" s="19" t="s">
        <v>24</v>
      </c>
      <c r="E62" s="20" t="s">
        <v>251</v>
      </c>
      <c r="F62" s="21" t="s">
        <v>26</v>
      </c>
      <c r="G62" s="22">
        <v>452</v>
      </c>
      <c r="H62" s="22">
        <v>0</v>
      </c>
      <c r="I62" s="22">
        <v>452</v>
      </c>
      <c r="J62" s="23">
        <v>1</v>
      </c>
      <c r="K62" s="412">
        <f t="shared" si="6"/>
        <v>0</v>
      </c>
      <c r="L62" s="417">
        <v>0</v>
      </c>
      <c r="M62" s="417">
        <v>35.5</v>
      </c>
      <c r="N62" s="4">
        <v>0</v>
      </c>
      <c r="O62" s="35" t="s">
        <v>313</v>
      </c>
      <c r="P62" s="35" t="s">
        <v>36</v>
      </c>
      <c r="Q62" s="36" t="s">
        <v>314</v>
      </c>
      <c r="R62" s="37" t="s">
        <v>37</v>
      </c>
      <c r="S62" s="38" t="s">
        <v>315</v>
      </c>
      <c r="T62" s="35" t="s">
        <v>46</v>
      </c>
      <c r="U62" s="10">
        <v>1.075</v>
      </c>
      <c r="V62" s="10">
        <v>1.0489999999999999</v>
      </c>
      <c r="W62" s="11">
        <v>0.25</v>
      </c>
      <c r="X62" s="11">
        <v>0.75</v>
      </c>
      <c r="Y62" s="11">
        <f t="shared" si="0"/>
        <v>1.0554999999999999</v>
      </c>
      <c r="Z62" s="11" t="s">
        <v>33</v>
      </c>
      <c r="AA62" s="11" t="s">
        <v>33</v>
      </c>
      <c r="AC62" s="26" t="s">
        <v>257</v>
      </c>
      <c r="AD62" s="26" t="s">
        <v>257</v>
      </c>
      <c r="AE62" s="27" t="s">
        <v>258</v>
      </c>
      <c r="AF62" s="28" t="s">
        <v>24</v>
      </c>
      <c r="AG62" s="29" t="s">
        <v>259</v>
      </c>
      <c r="AH62" s="26" t="s">
        <v>26</v>
      </c>
      <c r="AI62" s="30">
        <v>4</v>
      </c>
      <c r="AJ62" s="30" t="s">
        <v>34</v>
      </c>
      <c r="AK62" s="31">
        <v>585</v>
      </c>
      <c r="AM62" s="26" t="s">
        <v>283</v>
      </c>
      <c r="AN62" s="27" t="s">
        <v>131</v>
      </c>
      <c r="AO62" s="28" t="s">
        <v>24</v>
      </c>
      <c r="AP62" s="29" t="s">
        <v>284</v>
      </c>
      <c r="AQ62" s="26" t="s">
        <v>26</v>
      </c>
      <c r="AR62" s="32">
        <v>8746223.3399999999</v>
      </c>
    </row>
    <row r="63" spans="1:44" ht="14.4">
      <c r="A63" s="17" t="s">
        <v>257</v>
      </c>
      <c r="B63" s="17" t="s">
        <v>257</v>
      </c>
      <c r="C63" s="18" t="s">
        <v>258</v>
      </c>
      <c r="D63" s="19" t="s">
        <v>24</v>
      </c>
      <c r="E63" s="20" t="s">
        <v>259</v>
      </c>
      <c r="F63" s="21" t="s">
        <v>26</v>
      </c>
      <c r="G63" s="22">
        <v>4584</v>
      </c>
      <c r="H63" s="22">
        <v>0</v>
      </c>
      <c r="I63" s="22">
        <v>4584</v>
      </c>
      <c r="J63" s="23">
        <v>1</v>
      </c>
      <c r="K63" s="412">
        <f t="shared" si="6"/>
        <v>200</v>
      </c>
      <c r="L63" s="417">
        <v>200</v>
      </c>
      <c r="M63" s="417">
        <v>248</v>
      </c>
      <c r="N63" s="4">
        <v>200</v>
      </c>
      <c r="O63" s="17" t="s">
        <v>316</v>
      </c>
      <c r="P63" s="17" t="s">
        <v>316</v>
      </c>
      <c r="Q63" s="18" t="s">
        <v>317</v>
      </c>
      <c r="R63" s="19" t="s">
        <v>24</v>
      </c>
      <c r="S63" s="20" t="s">
        <v>318</v>
      </c>
      <c r="T63" s="21" t="s">
        <v>26</v>
      </c>
      <c r="U63" s="10">
        <v>1.081</v>
      </c>
      <c r="V63" s="10">
        <v>1.0589999999999999</v>
      </c>
      <c r="W63" s="11">
        <v>0.25</v>
      </c>
      <c r="X63" s="11">
        <v>0.75</v>
      </c>
      <c r="Y63" s="11">
        <f t="shared" si="0"/>
        <v>1.0644999999999998</v>
      </c>
      <c r="Z63" s="11" t="s">
        <v>33</v>
      </c>
      <c r="AA63" s="11" t="s">
        <v>33</v>
      </c>
      <c r="AC63" s="26" t="s">
        <v>270</v>
      </c>
      <c r="AD63" s="26" t="s">
        <v>270</v>
      </c>
      <c r="AE63" s="27" t="s">
        <v>271</v>
      </c>
      <c r="AF63" s="28" t="s">
        <v>24</v>
      </c>
      <c r="AG63" s="29" t="s">
        <v>272</v>
      </c>
      <c r="AH63" s="26" t="s">
        <v>26</v>
      </c>
      <c r="AI63" s="30">
        <v>2</v>
      </c>
      <c r="AJ63" s="30" t="s">
        <v>34</v>
      </c>
      <c r="AK63" s="31">
        <v>4851</v>
      </c>
      <c r="AM63" s="26" t="s">
        <v>287</v>
      </c>
      <c r="AN63" s="27" t="s">
        <v>288</v>
      </c>
      <c r="AO63" s="28" t="s">
        <v>24</v>
      </c>
      <c r="AP63" s="29" t="s">
        <v>289</v>
      </c>
      <c r="AQ63" s="26" t="s">
        <v>26</v>
      </c>
      <c r="AR63" s="32">
        <v>2908702.7</v>
      </c>
    </row>
    <row r="64" spans="1:44" ht="14.4">
      <c r="A64" s="17" t="s">
        <v>270</v>
      </c>
      <c r="B64" s="17" t="s">
        <v>270</v>
      </c>
      <c r="C64" s="18" t="s">
        <v>271</v>
      </c>
      <c r="D64" s="19" t="s">
        <v>24</v>
      </c>
      <c r="E64" s="20" t="s">
        <v>272</v>
      </c>
      <c r="F64" s="21" t="s">
        <v>26</v>
      </c>
      <c r="G64" s="22">
        <v>25095</v>
      </c>
      <c r="H64" s="22">
        <v>14903</v>
      </c>
      <c r="I64" s="22">
        <v>10192</v>
      </c>
      <c r="J64" s="23">
        <v>0.40613668061366809</v>
      </c>
      <c r="K64" s="412">
        <f t="shared" si="6"/>
        <v>2524</v>
      </c>
      <c r="L64" s="417">
        <v>2524</v>
      </c>
      <c r="M64" s="417">
        <v>2521.5</v>
      </c>
      <c r="N64" s="4">
        <v>2524</v>
      </c>
      <c r="O64" s="17" t="s">
        <v>319</v>
      </c>
      <c r="P64" s="17" t="s">
        <v>319</v>
      </c>
      <c r="Q64" s="18" t="s">
        <v>320</v>
      </c>
      <c r="R64" s="19" t="s">
        <v>24</v>
      </c>
      <c r="S64" s="20" t="s">
        <v>321</v>
      </c>
      <c r="T64" s="21" t="s">
        <v>26</v>
      </c>
      <c r="U64" s="10">
        <v>1.173</v>
      </c>
      <c r="V64" s="10">
        <v>1.163</v>
      </c>
      <c r="W64" s="11">
        <v>0.25</v>
      </c>
      <c r="X64" s="11">
        <v>0.75</v>
      </c>
      <c r="Y64" s="11">
        <f t="shared" si="0"/>
        <v>1.1655</v>
      </c>
      <c r="Z64" s="11" t="s">
        <v>33</v>
      </c>
      <c r="AA64" s="11" t="s">
        <v>33</v>
      </c>
      <c r="AC64" s="39" t="s">
        <v>274</v>
      </c>
      <c r="AD64" s="26" t="s">
        <v>270</v>
      </c>
      <c r="AE64" s="27" t="s">
        <v>271</v>
      </c>
      <c r="AF64" s="28" t="s">
        <v>131</v>
      </c>
      <c r="AG64" s="29" t="s">
        <v>275</v>
      </c>
      <c r="AH64" s="26" t="s">
        <v>32</v>
      </c>
      <c r="AI64" s="30">
        <v>0</v>
      </c>
      <c r="AJ64" s="30" t="s">
        <v>34</v>
      </c>
      <c r="AK64" s="31">
        <v>129</v>
      </c>
      <c r="AM64" s="26" t="s">
        <v>293</v>
      </c>
      <c r="AN64" s="27" t="s">
        <v>294</v>
      </c>
      <c r="AO64" s="28" t="s">
        <v>24</v>
      </c>
      <c r="AP64" s="29" t="s">
        <v>295</v>
      </c>
      <c r="AQ64" s="26" t="s">
        <v>26</v>
      </c>
      <c r="AR64" s="32">
        <v>5872704.6600000001</v>
      </c>
    </row>
    <row r="65" spans="1:44" ht="14.4">
      <c r="A65" s="24" t="s">
        <v>274</v>
      </c>
      <c r="B65" s="17" t="s">
        <v>270</v>
      </c>
      <c r="C65" s="18" t="s">
        <v>271</v>
      </c>
      <c r="D65" s="19" t="s">
        <v>131</v>
      </c>
      <c r="E65" s="20" t="s">
        <v>275</v>
      </c>
      <c r="F65" s="21" t="s">
        <v>32</v>
      </c>
      <c r="K65" s="412">
        <f t="shared" si="6"/>
        <v>0</v>
      </c>
      <c r="L65" s="417">
        <v>0</v>
      </c>
      <c r="M65" s="417">
        <v>0</v>
      </c>
      <c r="N65" s="4">
        <v>0</v>
      </c>
      <c r="O65" s="17" t="s">
        <v>322</v>
      </c>
      <c r="P65" s="17" t="s">
        <v>322</v>
      </c>
      <c r="Q65" s="18" t="s">
        <v>56</v>
      </c>
      <c r="R65" s="19" t="s">
        <v>24</v>
      </c>
      <c r="S65" s="20" t="s">
        <v>323</v>
      </c>
      <c r="T65" s="21" t="s">
        <v>26</v>
      </c>
      <c r="U65" s="10">
        <v>1.036</v>
      </c>
      <c r="V65" s="10">
        <v>1.002</v>
      </c>
      <c r="W65" s="11">
        <v>0.25</v>
      </c>
      <c r="X65" s="11">
        <v>0.75</v>
      </c>
      <c r="Y65" s="11">
        <f t="shared" si="0"/>
        <v>1.0105</v>
      </c>
      <c r="Z65" s="11" t="s">
        <v>33</v>
      </c>
      <c r="AA65" s="11" t="s">
        <v>33</v>
      </c>
      <c r="AC65" s="40" t="s">
        <v>324</v>
      </c>
      <c r="AD65" s="40" t="s">
        <v>270</v>
      </c>
      <c r="AE65" s="41"/>
      <c r="AF65" s="40"/>
      <c r="AG65" s="40" t="s">
        <v>234</v>
      </c>
      <c r="AH65" s="40"/>
      <c r="AI65" s="42">
        <v>2</v>
      </c>
      <c r="AJ65" s="40"/>
      <c r="AK65" s="44">
        <v>4980</v>
      </c>
      <c r="AM65" s="26" t="s">
        <v>297</v>
      </c>
      <c r="AN65" s="27" t="s">
        <v>298</v>
      </c>
      <c r="AO65" s="28" t="s">
        <v>24</v>
      </c>
      <c r="AP65" s="29" t="s">
        <v>299</v>
      </c>
      <c r="AQ65" s="26" t="s">
        <v>26</v>
      </c>
      <c r="AR65" s="32">
        <v>2314338.2799999998</v>
      </c>
    </row>
    <row r="66" spans="1:44" ht="14.4">
      <c r="A66" s="45" t="s">
        <v>324</v>
      </c>
      <c r="B66" s="45" t="s">
        <v>270</v>
      </c>
      <c r="C66" s="46"/>
      <c r="D66" s="45"/>
      <c r="E66" s="45" t="s">
        <v>234</v>
      </c>
      <c r="F66" s="45"/>
      <c r="K66" s="42">
        <v>2524</v>
      </c>
      <c r="L66" s="418">
        <v>2524</v>
      </c>
      <c r="M66" s="418"/>
      <c r="N66" s="4">
        <v>2524</v>
      </c>
      <c r="O66" s="17" t="s">
        <v>325</v>
      </c>
      <c r="P66" s="17" t="s">
        <v>325</v>
      </c>
      <c r="Q66" s="18" t="s">
        <v>326</v>
      </c>
      <c r="R66" s="19" t="s">
        <v>24</v>
      </c>
      <c r="S66" s="20" t="s">
        <v>327</v>
      </c>
      <c r="T66" s="21" t="s">
        <v>26</v>
      </c>
      <c r="U66" s="10">
        <v>1.073</v>
      </c>
      <c r="V66" s="10">
        <v>1.0640000000000001</v>
      </c>
      <c r="W66" s="11">
        <v>0.25</v>
      </c>
      <c r="X66" s="11">
        <v>0.75</v>
      </c>
      <c r="Y66" s="11">
        <f t="shared" si="0"/>
        <v>1.0662500000000001</v>
      </c>
      <c r="Z66" s="11" t="s">
        <v>33</v>
      </c>
      <c r="AA66" s="11" t="s">
        <v>33</v>
      </c>
      <c r="AC66" s="26" t="s">
        <v>277</v>
      </c>
      <c r="AD66" s="26" t="s">
        <v>277</v>
      </c>
      <c r="AE66" s="27" t="s">
        <v>278</v>
      </c>
      <c r="AF66" s="28" t="s">
        <v>24</v>
      </c>
      <c r="AG66" s="29" t="s">
        <v>279</v>
      </c>
      <c r="AH66" s="26" t="s">
        <v>26</v>
      </c>
      <c r="AI66" s="30">
        <v>0</v>
      </c>
      <c r="AJ66" s="30" t="s">
        <v>34</v>
      </c>
      <c r="AK66" s="31">
        <v>85</v>
      </c>
      <c r="AM66" s="26" t="s">
        <v>328</v>
      </c>
      <c r="AN66" s="27" t="s">
        <v>301</v>
      </c>
      <c r="AO66" s="28" t="s">
        <v>24</v>
      </c>
      <c r="AP66" s="29" t="s">
        <v>302</v>
      </c>
      <c r="AQ66" s="26" t="s">
        <v>26</v>
      </c>
      <c r="AR66" s="32">
        <v>31005258.52</v>
      </c>
    </row>
    <row r="67" spans="1:44" ht="14.4">
      <c r="A67" s="17" t="s">
        <v>277</v>
      </c>
      <c r="B67" s="17" t="s">
        <v>277</v>
      </c>
      <c r="C67" s="18" t="s">
        <v>278</v>
      </c>
      <c r="D67" s="19" t="s">
        <v>24</v>
      </c>
      <c r="E67" s="20" t="s">
        <v>279</v>
      </c>
      <c r="F67" s="21" t="s">
        <v>26</v>
      </c>
      <c r="G67" s="22">
        <v>553</v>
      </c>
      <c r="H67" s="22">
        <v>0</v>
      </c>
      <c r="I67" s="22">
        <v>553</v>
      </c>
      <c r="J67" s="23">
        <v>1</v>
      </c>
      <c r="K67" s="412">
        <f t="shared" ref="K67:K90" si="7">MIN($L67,MAX($M67,$N67))</f>
        <v>0</v>
      </c>
      <c r="L67" s="417">
        <v>0</v>
      </c>
      <c r="M67" s="417">
        <v>46.5</v>
      </c>
      <c r="N67" s="4">
        <v>0</v>
      </c>
      <c r="O67" s="17" t="s">
        <v>263</v>
      </c>
      <c r="P67" s="17" t="s">
        <v>263</v>
      </c>
      <c r="Q67" s="18" t="s">
        <v>329</v>
      </c>
      <c r="R67" s="19" t="s">
        <v>24</v>
      </c>
      <c r="S67" s="20" t="s">
        <v>330</v>
      </c>
      <c r="T67" s="21" t="s">
        <v>26</v>
      </c>
      <c r="U67" s="10">
        <v>1.101</v>
      </c>
      <c r="V67" s="10">
        <v>1.085</v>
      </c>
      <c r="W67" s="11">
        <v>0.25</v>
      </c>
      <c r="X67" s="11">
        <v>0.75</v>
      </c>
      <c r="Y67" s="11">
        <f t="shared" ref="Y67:Y130" si="8">W67*U67+X67*V67</f>
        <v>1.089</v>
      </c>
      <c r="Z67" s="11" t="s">
        <v>33</v>
      </c>
      <c r="AA67" s="11" t="s">
        <v>33</v>
      </c>
      <c r="AC67" s="26" t="s">
        <v>283</v>
      </c>
      <c r="AD67" s="26" t="s">
        <v>283</v>
      </c>
      <c r="AE67" s="27" t="s">
        <v>131</v>
      </c>
      <c r="AF67" s="28" t="s">
        <v>24</v>
      </c>
      <c r="AG67" s="29" t="s">
        <v>284</v>
      </c>
      <c r="AH67" s="26" t="s">
        <v>26</v>
      </c>
      <c r="AI67" s="30">
        <v>0</v>
      </c>
      <c r="AJ67" s="30" t="s">
        <v>34</v>
      </c>
      <c r="AK67" s="31">
        <v>803.5</v>
      </c>
      <c r="AM67" s="26" t="s">
        <v>303</v>
      </c>
      <c r="AN67" s="27" t="s">
        <v>304</v>
      </c>
      <c r="AO67" s="28" t="s">
        <v>24</v>
      </c>
      <c r="AP67" s="29" t="s">
        <v>305</v>
      </c>
      <c r="AQ67" s="26" t="s">
        <v>26</v>
      </c>
      <c r="AR67" s="32">
        <v>7663480.9000000004</v>
      </c>
    </row>
    <row r="68" spans="1:44" ht="14.4">
      <c r="A68" s="17" t="s">
        <v>283</v>
      </c>
      <c r="B68" s="17" t="s">
        <v>283</v>
      </c>
      <c r="C68" s="18" t="s">
        <v>131</v>
      </c>
      <c r="D68" s="19" t="s">
        <v>24</v>
      </c>
      <c r="E68" s="20" t="s">
        <v>284</v>
      </c>
      <c r="F68" s="21" t="s">
        <v>26</v>
      </c>
      <c r="G68" s="22">
        <v>3975</v>
      </c>
      <c r="H68" s="22">
        <v>0</v>
      </c>
      <c r="I68" s="22">
        <v>3975</v>
      </c>
      <c r="J68" s="23">
        <v>1</v>
      </c>
      <c r="K68" s="412">
        <f t="shared" si="7"/>
        <v>420</v>
      </c>
      <c r="L68" s="417">
        <v>476</v>
      </c>
      <c r="M68" s="417">
        <v>394</v>
      </c>
      <c r="N68" s="4">
        <v>420</v>
      </c>
      <c r="O68" s="24" t="s">
        <v>111</v>
      </c>
      <c r="P68" s="17" t="s">
        <v>36</v>
      </c>
      <c r="Q68" s="18" t="s">
        <v>37</v>
      </c>
      <c r="R68" s="19" t="s">
        <v>112</v>
      </c>
      <c r="S68" s="20" t="s">
        <v>113</v>
      </c>
      <c r="T68" s="21" t="s">
        <v>32</v>
      </c>
      <c r="U68" s="10">
        <v>1.083</v>
      </c>
      <c r="V68" s="10">
        <v>1.0169999999999999</v>
      </c>
      <c r="W68" s="11">
        <v>0.25</v>
      </c>
      <c r="X68" s="11">
        <v>0.75</v>
      </c>
      <c r="Y68" s="11">
        <f t="shared" si="8"/>
        <v>1.0334999999999999</v>
      </c>
      <c r="Z68" s="11" t="s">
        <v>33</v>
      </c>
      <c r="AA68" s="11" t="s">
        <v>33</v>
      </c>
      <c r="AC68" s="26" t="s">
        <v>287</v>
      </c>
      <c r="AD68" s="26" t="s">
        <v>287</v>
      </c>
      <c r="AE68" s="27" t="s">
        <v>288</v>
      </c>
      <c r="AF68" s="28" t="s">
        <v>24</v>
      </c>
      <c r="AG68" s="29" t="s">
        <v>289</v>
      </c>
      <c r="AH68" s="26" t="s">
        <v>26</v>
      </c>
      <c r="AI68" s="30">
        <v>1</v>
      </c>
      <c r="AJ68" s="30" t="s">
        <v>34</v>
      </c>
      <c r="AK68" s="31">
        <v>206</v>
      </c>
      <c r="AM68" s="26" t="s">
        <v>310</v>
      </c>
      <c r="AN68" s="27" t="s">
        <v>311</v>
      </c>
      <c r="AO68" s="28" t="s">
        <v>24</v>
      </c>
      <c r="AP68" s="29" t="s">
        <v>312</v>
      </c>
      <c r="AQ68" s="26" t="s">
        <v>26</v>
      </c>
      <c r="AR68" s="32">
        <v>7569892.8799999999</v>
      </c>
    </row>
    <row r="69" spans="1:44" ht="14.4">
      <c r="A69" s="17" t="s">
        <v>287</v>
      </c>
      <c r="B69" s="17" t="s">
        <v>287</v>
      </c>
      <c r="C69" s="18" t="s">
        <v>288</v>
      </c>
      <c r="D69" s="19" t="s">
        <v>24</v>
      </c>
      <c r="E69" s="20" t="s">
        <v>289</v>
      </c>
      <c r="F69" s="21" t="s">
        <v>26</v>
      </c>
      <c r="G69" s="22">
        <v>648</v>
      </c>
      <c r="H69" s="22">
        <v>0</v>
      </c>
      <c r="I69" s="22">
        <v>648</v>
      </c>
      <c r="J69" s="23">
        <v>1</v>
      </c>
      <c r="K69" s="412">
        <f t="shared" si="7"/>
        <v>0</v>
      </c>
      <c r="L69" s="417">
        <v>0</v>
      </c>
      <c r="M69" s="417">
        <v>107</v>
      </c>
      <c r="N69" s="4">
        <v>0</v>
      </c>
      <c r="O69" s="24" t="s">
        <v>118</v>
      </c>
      <c r="P69" s="17" t="s">
        <v>36</v>
      </c>
      <c r="Q69" s="18" t="s">
        <v>37</v>
      </c>
      <c r="R69" s="19" t="s">
        <v>119</v>
      </c>
      <c r="S69" s="20" t="s">
        <v>120</v>
      </c>
      <c r="T69" s="21" t="s">
        <v>32</v>
      </c>
      <c r="U69" s="10">
        <v>1.0980000000000001</v>
      </c>
      <c r="V69" s="10">
        <v>1.103</v>
      </c>
      <c r="W69" s="11">
        <v>0.25</v>
      </c>
      <c r="X69" s="11">
        <v>0.75</v>
      </c>
      <c r="Y69" s="11">
        <f t="shared" si="8"/>
        <v>1.10175</v>
      </c>
      <c r="Z69" s="11" t="s">
        <v>33</v>
      </c>
      <c r="AA69" s="11" t="s">
        <v>33</v>
      </c>
      <c r="AC69" s="26" t="s">
        <v>293</v>
      </c>
      <c r="AD69" s="26" t="s">
        <v>293</v>
      </c>
      <c r="AE69" s="27" t="s">
        <v>294</v>
      </c>
      <c r="AF69" s="28" t="s">
        <v>24</v>
      </c>
      <c r="AG69" s="29" t="s">
        <v>295</v>
      </c>
      <c r="AH69" s="26" t="s">
        <v>26</v>
      </c>
      <c r="AI69" s="30">
        <v>0</v>
      </c>
      <c r="AJ69" s="30" t="s">
        <v>34</v>
      </c>
      <c r="AK69" s="31">
        <v>584.5</v>
      </c>
      <c r="AM69" s="26" t="s">
        <v>316</v>
      </c>
      <c r="AN69" s="27" t="s">
        <v>317</v>
      </c>
      <c r="AO69" s="28" t="s">
        <v>24</v>
      </c>
      <c r="AP69" s="29" t="s">
        <v>318</v>
      </c>
      <c r="AQ69" s="26" t="s">
        <v>26</v>
      </c>
      <c r="AR69" s="32">
        <v>89118194.489999995</v>
      </c>
    </row>
    <row r="70" spans="1:44" ht="14.4">
      <c r="A70" s="17" t="s">
        <v>293</v>
      </c>
      <c r="B70" s="17" t="s">
        <v>293</v>
      </c>
      <c r="C70" s="18" t="s">
        <v>294</v>
      </c>
      <c r="D70" s="19" t="s">
        <v>24</v>
      </c>
      <c r="E70" s="20" t="s">
        <v>295</v>
      </c>
      <c r="F70" s="21" t="s">
        <v>26</v>
      </c>
      <c r="G70" s="22">
        <v>3460</v>
      </c>
      <c r="H70" s="22">
        <v>0</v>
      </c>
      <c r="I70" s="22">
        <v>3460</v>
      </c>
      <c r="J70" s="23">
        <v>1</v>
      </c>
      <c r="K70" s="412">
        <f t="shared" si="7"/>
        <v>287</v>
      </c>
      <c r="L70" s="417">
        <v>287</v>
      </c>
      <c r="M70" s="417">
        <v>333.5</v>
      </c>
      <c r="N70" s="4">
        <v>287</v>
      </c>
      <c r="O70" s="17" t="s">
        <v>331</v>
      </c>
      <c r="P70" s="17" t="s">
        <v>331</v>
      </c>
      <c r="Q70" s="18" t="s">
        <v>332</v>
      </c>
      <c r="R70" s="19" t="s">
        <v>24</v>
      </c>
      <c r="S70" s="20" t="s">
        <v>333</v>
      </c>
      <c r="T70" s="21" t="s">
        <v>26</v>
      </c>
      <c r="U70" s="10">
        <v>1.073</v>
      </c>
      <c r="V70" s="10">
        <v>1.095</v>
      </c>
      <c r="W70" s="11">
        <v>0.25</v>
      </c>
      <c r="X70" s="11">
        <v>0.75</v>
      </c>
      <c r="Y70" s="11">
        <f t="shared" si="8"/>
        <v>1.0895000000000001</v>
      </c>
      <c r="Z70" s="11" t="s">
        <v>33</v>
      </c>
      <c r="AA70" s="11" t="s">
        <v>33</v>
      </c>
      <c r="AC70" s="26" t="s">
        <v>297</v>
      </c>
      <c r="AD70" s="26" t="s">
        <v>297</v>
      </c>
      <c r="AE70" s="27" t="s">
        <v>298</v>
      </c>
      <c r="AF70" s="28" t="s">
        <v>24</v>
      </c>
      <c r="AG70" s="29" t="s">
        <v>299</v>
      </c>
      <c r="AH70" s="26" t="s">
        <v>26</v>
      </c>
      <c r="AI70" s="30">
        <v>0</v>
      </c>
      <c r="AJ70" s="30" t="s">
        <v>34</v>
      </c>
      <c r="AK70" s="31">
        <v>159</v>
      </c>
      <c r="AM70" s="26" t="s">
        <v>319</v>
      </c>
      <c r="AN70" s="27" t="s">
        <v>320</v>
      </c>
      <c r="AO70" s="28" t="s">
        <v>24</v>
      </c>
      <c r="AP70" s="29" t="s">
        <v>321</v>
      </c>
      <c r="AQ70" s="26" t="s">
        <v>26</v>
      </c>
      <c r="AR70" s="32">
        <v>2685923.35</v>
      </c>
    </row>
    <row r="71" spans="1:44" ht="14.4">
      <c r="A71" s="17" t="s">
        <v>297</v>
      </c>
      <c r="B71" s="17" t="s">
        <v>297</v>
      </c>
      <c r="C71" s="18" t="s">
        <v>298</v>
      </c>
      <c r="D71" s="19" t="s">
        <v>24</v>
      </c>
      <c r="E71" s="20" t="s">
        <v>299</v>
      </c>
      <c r="F71" s="21" t="s">
        <v>26</v>
      </c>
      <c r="G71" s="22">
        <v>426</v>
      </c>
      <c r="H71" s="22">
        <v>0</v>
      </c>
      <c r="I71" s="22">
        <v>426</v>
      </c>
      <c r="J71" s="23">
        <v>1</v>
      </c>
      <c r="K71" s="412">
        <f t="shared" si="7"/>
        <v>0</v>
      </c>
      <c r="L71" s="417">
        <v>0</v>
      </c>
      <c r="M71" s="417">
        <v>84.5</v>
      </c>
      <c r="N71" s="4">
        <v>0</v>
      </c>
      <c r="O71" s="17" t="s">
        <v>334</v>
      </c>
      <c r="P71" s="17" t="s">
        <v>334</v>
      </c>
      <c r="Q71" s="18" t="s">
        <v>335</v>
      </c>
      <c r="R71" s="19" t="s">
        <v>24</v>
      </c>
      <c r="S71" s="20" t="s">
        <v>336</v>
      </c>
      <c r="T71" s="21" t="s">
        <v>26</v>
      </c>
      <c r="U71" s="10">
        <v>1.083</v>
      </c>
      <c r="V71" s="10">
        <v>1.0549999999999999</v>
      </c>
      <c r="W71" s="11">
        <v>0.25</v>
      </c>
      <c r="X71" s="11">
        <v>0.75</v>
      </c>
      <c r="Y71" s="11">
        <f t="shared" si="8"/>
        <v>1.0620000000000001</v>
      </c>
      <c r="Z71" s="11" t="s">
        <v>33</v>
      </c>
      <c r="AA71" s="11" t="s">
        <v>33</v>
      </c>
      <c r="AC71" s="26" t="s">
        <v>300</v>
      </c>
      <c r="AD71" s="26" t="s">
        <v>300</v>
      </c>
      <c r="AE71" s="27" t="s">
        <v>301</v>
      </c>
      <c r="AF71" s="28" t="s">
        <v>24</v>
      </c>
      <c r="AG71" s="29" t="s">
        <v>302</v>
      </c>
      <c r="AH71" s="26" t="s">
        <v>26</v>
      </c>
      <c r="AI71" s="30">
        <v>1</v>
      </c>
      <c r="AJ71" s="30" t="s">
        <v>34</v>
      </c>
      <c r="AK71" s="31">
        <v>3045</v>
      </c>
      <c r="AM71" s="26" t="s">
        <v>337</v>
      </c>
      <c r="AN71" s="27" t="s">
        <v>56</v>
      </c>
      <c r="AO71" s="28" t="s">
        <v>24</v>
      </c>
      <c r="AP71" s="29" t="s">
        <v>323</v>
      </c>
      <c r="AQ71" s="26" t="s">
        <v>26</v>
      </c>
      <c r="AR71" s="32">
        <v>3379404.43</v>
      </c>
    </row>
    <row r="72" spans="1:44" ht="14.4">
      <c r="A72" s="17" t="s">
        <v>300</v>
      </c>
      <c r="B72" s="17" t="s">
        <v>300</v>
      </c>
      <c r="C72" s="18" t="s">
        <v>301</v>
      </c>
      <c r="D72" s="19" t="s">
        <v>24</v>
      </c>
      <c r="E72" s="20" t="s">
        <v>302</v>
      </c>
      <c r="F72" s="21" t="s">
        <v>26</v>
      </c>
      <c r="G72" s="22">
        <v>36634</v>
      </c>
      <c r="H72" s="22">
        <v>25742</v>
      </c>
      <c r="I72" s="22">
        <v>10892</v>
      </c>
      <c r="J72" s="23">
        <v>0.29731943003766992</v>
      </c>
      <c r="K72" s="412">
        <f t="shared" si="7"/>
        <v>1880</v>
      </c>
      <c r="L72" s="417">
        <v>2403</v>
      </c>
      <c r="M72" s="417">
        <v>1708.5</v>
      </c>
      <c r="N72" s="4">
        <v>1880</v>
      </c>
      <c r="O72" s="17" t="s">
        <v>338</v>
      </c>
      <c r="P72" s="17" t="s">
        <v>338</v>
      </c>
      <c r="Q72" s="18" t="s">
        <v>268</v>
      </c>
      <c r="R72" s="19" t="s">
        <v>24</v>
      </c>
      <c r="S72" s="20" t="s">
        <v>339</v>
      </c>
      <c r="T72" s="21" t="s">
        <v>26</v>
      </c>
      <c r="U72" s="10">
        <v>1.1160000000000001</v>
      </c>
      <c r="V72" s="10">
        <v>1.0840000000000001</v>
      </c>
      <c r="W72" s="11">
        <v>0.25</v>
      </c>
      <c r="X72" s="11">
        <v>0.75</v>
      </c>
      <c r="Y72" s="11">
        <f t="shared" si="8"/>
        <v>1.0920000000000001</v>
      </c>
      <c r="Z72" s="11" t="s">
        <v>33</v>
      </c>
      <c r="AA72" s="11" t="s">
        <v>33</v>
      </c>
      <c r="AC72" s="26" t="s">
        <v>303</v>
      </c>
      <c r="AD72" s="26" t="s">
        <v>303</v>
      </c>
      <c r="AE72" s="27" t="s">
        <v>304</v>
      </c>
      <c r="AF72" s="28" t="s">
        <v>24</v>
      </c>
      <c r="AG72" s="29" t="s">
        <v>305</v>
      </c>
      <c r="AH72" s="26" t="s">
        <v>26</v>
      </c>
      <c r="AI72" s="30">
        <v>1</v>
      </c>
      <c r="AJ72" s="30" t="s">
        <v>34</v>
      </c>
      <c r="AK72" s="31">
        <v>550.5</v>
      </c>
      <c r="AM72" s="26" t="s">
        <v>325</v>
      </c>
      <c r="AN72" s="27" t="s">
        <v>326</v>
      </c>
      <c r="AO72" s="28" t="s">
        <v>24</v>
      </c>
      <c r="AP72" s="29" t="s">
        <v>327</v>
      </c>
      <c r="AQ72" s="26" t="s">
        <v>26</v>
      </c>
      <c r="AR72" s="32">
        <v>123375350.27</v>
      </c>
    </row>
    <row r="73" spans="1:44" ht="14.4">
      <c r="A73" s="17" t="s">
        <v>303</v>
      </c>
      <c r="B73" s="17" t="s">
        <v>303</v>
      </c>
      <c r="C73" s="18" t="s">
        <v>304</v>
      </c>
      <c r="D73" s="19" t="s">
        <v>24</v>
      </c>
      <c r="E73" s="20" t="s">
        <v>305</v>
      </c>
      <c r="F73" s="21" t="s">
        <v>26</v>
      </c>
      <c r="G73" s="22">
        <v>4797</v>
      </c>
      <c r="H73" s="22">
        <v>0</v>
      </c>
      <c r="I73" s="22">
        <v>4797</v>
      </c>
      <c r="J73" s="23">
        <v>1</v>
      </c>
      <c r="K73" s="412">
        <f t="shared" si="7"/>
        <v>313</v>
      </c>
      <c r="L73" s="417">
        <v>470</v>
      </c>
      <c r="M73" s="417">
        <v>273</v>
      </c>
      <c r="N73" s="4">
        <v>313</v>
      </c>
      <c r="O73" s="17" t="s">
        <v>340</v>
      </c>
      <c r="P73" s="17" t="s">
        <v>340</v>
      </c>
      <c r="Q73" s="18" t="s">
        <v>341</v>
      </c>
      <c r="R73" s="19" t="s">
        <v>24</v>
      </c>
      <c r="S73" s="20" t="s">
        <v>342</v>
      </c>
      <c r="T73" s="21" t="s">
        <v>26</v>
      </c>
      <c r="U73" s="10">
        <v>1.0529999999999999</v>
      </c>
      <c r="V73" s="10">
        <v>1.0449999999999999</v>
      </c>
      <c r="W73" s="11">
        <v>0.25</v>
      </c>
      <c r="X73" s="11">
        <v>0.75</v>
      </c>
      <c r="Y73" s="11">
        <f t="shared" si="8"/>
        <v>1.0469999999999999</v>
      </c>
      <c r="Z73" s="11" t="s">
        <v>33</v>
      </c>
      <c r="AA73" s="11" t="s">
        <v>33</v>
      </c>
      <c r="AC73" s="26" t="s">
        <v>310</v>
      </c>
      <c r="AD73" s="26" t="s">
        <v>310</v>
      </c>
      <c r="AE73" s="27" t="s">
        <v>311</v>
      </c>
      <c r="AF73" s="28" t="s">
        <v>24</v>
      </c>
      <c r="AG73" s="29" t="s">
        <v>312</v>
      </c>
      <c r="AH73" s="26" t="s">
        <v>26</v>
      </c>
      <c r="AI73" s="30">
        <v>0</v>
      </c>
      <c r="AJ73" s="30" t="s">
        <v>34</v>
      </c>
      <c r="AK73" s="31">
        <v>736</v>
      </c>
      <c r="AM73" s="26" t="s">
        <v>263</v>
      </c>
      <c r="AN73" s="27" t="s">
        <v>329</v>
      </c>
      <c r="AO73" s="28" t="s">
        <v>24</v>
      </c>
      <c r="AP73" s="29" t="s">
        <v>330</v>
      </c>
      <c r="AQ73" s="26" t="s">
        <v>26</v>
      </c>
      <c r="AR73" s="32">
        <v>84453813.159999996</v>
      </c>
    </row>
    <row r="74" spans="1:44" ht="14.4">
      <c r="A74" s="17" t="s">
        <v>310</v>
      </c>
      <c r="B74" s="17" t="s">
        <v>310</v>
      </c>
      <c r="C74" s="18" t="s">
        <v>311</v>
      </c>
      <c r="D74" s="19" t="s">
        <v>24</v>
      </c>
      <c r="E74" s="20" t="s">
        <v>312</v>
      </c>
      <c r="F74" s="21" t="s">
        <v>26</v>
      </c>
      <c r="G74" s="22">
        <v>3240</v>
      </c>
      <c r="H74" s="22">
        <v>2826</v>
      </c>
      <c r="I74" s="22">
        <v>414</v>
      </c>
      <c r="J74" s="23">
        <v>0.12777777777777777</v>
      </c>
      <c r="K74" s="412">
        <f t="shared" si="7"/>
        <v>0</v>
      </c>
      <c r="L74" s="417">
        <v>0</v>
      </c>
      <c r="M74" s="417">
        <v>373.5</v>
      </c>
      <c r="N74" s="4">
        <v>0</v>
      </c>
      <c r="O74" s="24" t="s">
        <v>125</v>
      </c>
      <c r="P74" s="17" t="s">
        <v>36</v>
      </c>
      <c r="Q74" s="18" t="s">
        <v>37</v>
      </c>
      <c r="R74" s="19" t="s">
        <v>126</v>
      </c>
      <c r="S74" s="20" t="s">
        <v>127</v>
      </c>
      <c r="T74" s="21" t="s">
        <v>32</v>
      </c>
      <c r="U74" s="10">
        <v>1.0009999999999999</v>
      </c>
      <c r="V74" s="10">
        <v>1.0269999999999999</v>
      </c>
      <c r="W74" s="11">
        <v>0.25</v>
      </c>
      <c r="X74" s="11">
        <v>0.75</v>
      </c>
      <c r="Y74" s="11">
        <f t="shared" si="8"/>
        <v>1.0204999999999997</v>
      </c>
      <c r="Z74" s="11" t="s">
        <v>33</v>
      </c>
      <c r="AA74" s="11" t="s">
        <v>33</v>
      </c>
      <c r="AC74" s="26" t="s">
        <v>316</v>
      </c>
      <c r="AD74" s="26" t="s">
        <v>316</v>
      </c>
      <c r="AE74" s="27" t="s">
        <v>317</v>
      </c>
      <c r="AF74" s="28" t="s">
        <v>24</v>
      </c>
      <c r="AG74" s="29" t="s">
        <v>318</v>
      </c>
      <c r="AH74" s="26" t="s">
        <v>26</v>
      </c>
      <c r="AI74" s="30">
        <v>19</v>
      </c>
      <c r="AJ74" s="30" t="s">
        <v>34</v>
      </c>
      <c r="AK74" s="31">
        <v>10628</v>
      </c>
      <c r="AM74" s="26" t="s">
        <v>331</v>
      </c>
      <c r="AN74" s="27" t="s">
        <v>332</v>
      </c>
      <c r="AO74" s="28" t="s">
        <v>24</v>
      </c>
      <c r="AP74" s="29" t="s">
        <v>333</v>
      </c>
      <c r="AQ74" s="26" t="s">
        <v>26</v>
      </c>
      <c r="AR74" s="32">
        <v>2301175.98</v>
      </c>
    </row>
    <row r="75" spans="1:44" ht="14.4">
      <c r="A75" s="17" t="s">
        <v>316</v>
      </c>
      <c r="B75" s="17" t="s">
        <v>316</v>
      </c>
      <c r="C75" s="18" t="s">
        <v>317</v>
      </c>
      <c r="D75" s="19" t="s">
        <v>24</v>
      </c>
      <c r="E75" s="20" t="s">
        <v>318</v>
      </c>
      <c r="F75" s="21" t="s">
        <v>26</v>
      </c>
      <c r="G75" s="22">
        <v>62279</v>
      </c>
      <c r="H75" s="22">
        <v>52415</v>
      </c>
      <c r="I75" s="22">
        <v>9864</v>
      </c>
      <c r="J75" s="23">
        <v>0.15838404598660866</v>
      </c>
      <c r="K75" s="412">
        <f t="shared" si="7"/>
        <v>1432</v>
      </c>
      <c r="L75" s="417">
        <v>1432</v>
      </c>
      <c r="M75" s="417">
        <v>5257</v>
      </c>
      <c r="N75" s="4">
        <v>1432</v>
      </c>
      <c r="O75" s="17" t="s">
        <v>343</v>
      </c>
      <c r="P75" s="17" t="s">
        <v>343</v>
      </c>
      <c r="Q75" s="18" t="s">
        <v>344</v>
      </c>
      <c r="R75" s="19" t="s">
        <v>24</v>
      </c>
      <c r="S75" s="20" t="s">
        <v>345</v>
      </c>
      <c r="T75" s="21" t="s">
        <v>26</v>
      </c>
      <c r="U75" s="10">
        <v>1.0880000000000001</v>
      </c>
      <c r="V75" s="10">
        <v>1.071</v>
      </c>
      <c r="W75" s="11">
        <v>0.25</v>
      </c>
      <c r="X75" s="11">
        <v>0.75</v>
      </c>
      <c r="Y75" s="11">
        <f t="shared" si="8"/>
        <v>1.07525</v>
      </c>
      <c r="Z75" s="11" t="s">
        <v>33</v>
      </c>
      <c r="AA75" s="11" t="s">
        <v>33</v>
      </c>
      <c r="AC75" s="26" t="s">
        <v>319</v>
      </c>
      <c r="AD75" s="26" t="s">
        <v>319</v>
      </c>
      <c r="AE75" s="27" t="s">
        <v>320</v>
      </c>
      <c r="AF75" s="28" t="s">
        <v>24</v>
      </c>
      <c r="AG75" s="29" t="s">
        <v>321</v>
      </c>
      <c r="AH75" s="26" t="s">
        <v>26</v>
      </c>
      <c r="AI75" s="30">
        <v>0</v>
      </c>
      <c r="AJ75" s="30" t="s">
        <v>34</v>
      </c>
      <c r="AK75" s="31">
        <v>199.5</v>
      </c>
      <c r="AM75" s="26" t="s">
        <v>334</v>
      </c>
      <c r="AN75" s="27" t="s">
        <v>335</v>
      </c>
      <c r="AO75" s="28" t="s">
        <v>24</v>
      </c>
      <c r="AP75" s="29" t="s">
        <v>336</v>
      </c>
      <c r="AQ75" s="26" t="s">
        <v>26</v>
      </c>
      <c r="AR75" s="32">
        <v>31076409.18</v>
      </c>
    </row>
    <row r="76" spans="1:44" ht="14.4">
      <c r="A76" s="17" t="s">
        <v>319</v>
      </c>
      <c r="B76" s="17" t="s">
        <v>319</v>
      </c>
      <c r="C76" s="18" t="s">
        <v>320</v>
      </c>
      <c r="D76" s="19" t="s">
        <v>24</v>
      </c>
      <c r="E76" s="20" t="s">
        <v>321</v>
      </c>
      <c r="F76" s="21" t="s">
        <v>26</v>
      </c>
      <c r="G76" s="22">
        <v>550</v>
      </c>
      <c r="H76" s="22">
        <v>0</v>
      </c>
      <c r="I76" s="22">
        <v>550</v>
      </c>
      <c r="J76" s="23">
        <v>1</v>
      </c>
      <c r="K76" s="412">
        <f t="shared" si="7"/>
        <v>124</v>
      </c>
      <c r="L76" s="417">
        <v>125</v>
      </c>
      <c r="M76" s="417">
        <v>124</v>
      </c>
      <c r="N76" s="4">
        <v>118.5</v>
      </c>
      <c r="O76" s="17" t="s">
        <v>346</v>
      </c>
      <c r="P76" s="17" t="s">
        <v>346</v>
      </c>
      <c r="Q76" s="18" t="s">
        <v>161</v>
      </c>
      <c r="R76" s="19" t="s">
        <v>24</v>
      </c>
      <c r="S76" s="20" t="s">
        <v>347</v>
      </c>
      <c r="T76" s="21" t="s">
        <v>26</v>
      </c>
      <c r="U76" s="10">
        <v>1.129</v>
      </c>
      <c r="V76" s="10">
        <v>1.1539999999999999</v>
      </c>
      <c r="W76" s="11">
        <v>0.25</v>
      </c>
      <c r="X76" s="11">
        <v>0.75</v>
      </c>
      <c r="Y76" s="11">
        <f t="shared" si="8"/>
        <v>1.1477499999999998</v>
      </c>
      <c r="Z76" s="11" t="s">
        <v>33</v>
      </c>
      <c r="AA76" s="11" t="s">
        <v>33</v>
      </c>
      <c r="AC76" s="26" t="s">
        <v>322</v>
      </c>
      <c r="AD76" s="26" t="s">
        <v>322</v>
      </c>
      <c r="AE76" s="27" t="s">
        <v>56</v>
      </c>
      <c r="AF76" s="28" t="s">
        <v>24</v>
      </c>
      <c r="AG76" s="29" t="s">
        <v>323</v>
      </c>
      <c r="AH76" s="26" t="s">
        <v>26</v>
      </c>
      <c r="AI76" s="30">
        <v>1</v>
      </c>
      <c r="AJ76" s="30" t="s">
        <v>34</v>
      </c>
      <c r="AK76" s="31">
        <v>253</v>
      </c>
      <c r="AM76" s="26" t="s">
        <v>338</v>
      </c>
      <c r="AN76" s="27" t="s">
        <v>268</v>
      </c>
      <c r="AO76" s="28" t="s">
        <v>24</v>
      </c>
      <c r="AP76" s="29" t="s">
        <v>339</v>
      </c>
      <c r="AQ76" s="26" t="s">
        <v>26</v>
      </c>
      <c r="AR76" s="32">
        <v>4822791.04</v>
      </c>
    </row>
    <row r="77" spans="1:44" ht="14.4">
      <c r="A77" s="17" t="s">
        <v>322</v>
      </c>
      <c r="B77" s="17" t="s">
        <v>322</v>
      </c>
      <c r="C77" s="18" t="s">
        <v>56</v>
      </c>
      <c r="D77" s="19" t="s">
        <v>24</v>
      </c>
      <c r="E77" s="20" t="s">
        <v>323</v>
      </c>
      <c r="F77" s="21" t="s">
        <v>26</v>
      </c>
      <c r="G77" s="22">
        <v>2022</v>
      </c>
      <c r="H77" s="22">
        <v>0</v>
      </c>
      <c r="I77" s="22">
        <v>2022</v>
      </c>
      <c r="J77" s="23">
        <v>1</v>
      </c>
      <c r="K77" s="412">
        <f t="shared" si="7"/>
        <v>0</v>
      </c>
      <c r="L77" s="417">
        <v>0</v>
      </c>
      <c r="M77" s="417">
        <v>141</v>
      </c>
      <c r="N77" s="4">
        <v>0</v>
      </c>
      <c r="O77" s="35" t="s">
        <v>348</v>
      </c>
      <c r="P77" s="35" t="s">
        <v>36</v>
      </c>
      <c r="Q77" s="36" t="s">
        <v>349</v>
      </c>
      <c r="R77" s="37" t="s">
        <v>37</v>
      </c>
      <c r="S77" s="38" t="s">
        <v>350</v>
      </c>
      <c r="T77" s="35" t="s">
        <v>46</v>
      </c>
      <c r="U77" s="10">
        <v>1.1040000000000001</v>
      </c>
      <c r="V77" s="10">
        <v>1.093</v>
      </c>
      <c r="W77" s="11">
        <v>0.25</v>
      </c>
      <c r="X77" s="11">
        <v>0.75</v>
      </c>
      <c r="Y77" s="11">
        <f t="shared" si="8"/>
        <v>1.09575</v>
      </c>
      <c r="Z77" s="11" t="s">
        <v>33</v>
      </c>
      <c r="AA77" s="11" t="s">
        <v>33</v>
      </c>
      <c r="AC77" s="26" t="s">
        <v>325</v>
      </c>
      <c r="AD77" s="26" t="s">
        <v>325</v>
      </c>
      <c r="AE77" s="27" t="s">
        <v>326</v>
      </c>
      <c r="AF77" s="28" t="s">
        <v>24</v>
      </c>
      <c r="AG77" s="29" t="s">
        <v>327</v>
      </c>
      <c r="AH77" s="26" t="s">
        <v>26</v>
      </c>
      <c r="AI77" s="30">
        <v>10</v>
      </c>
      <c r="AJ77" s="30" t="s">
        <v>34</v>
      </c>
      <c r="AK77" s="31">
        <v>12413.5</v>
      </c>
      <c r="AM77" s="26" t="s">
        <v>340</v>
      </c>
      <c r="AN77" s="27" t="s">
        <v>341</v>
      </c>
      <c r="AO77" s="28" t="s">
        <v>24</v>
      </c>
      <c r="AP77" s="29" t="s">
        <v>342</v>
      </c>
      <c r="AQ77" s="26" t="s">
        <v>26</v>
      </c>
      <c r="AR77" s="32">
        <v>11849213.77</v>
      </c>
    </row>
    <row r="78" spans="1:44" ht="14.4">
      <c r="A78" s="17" t="s">
        <v>325</v>
      </c>
      <c r="B78" s="17" t="s">
        <v>325</v>
      </c>
      <c r="C78" s="18" t="s">
        <v>326</v>
      </c>
      <c r="D78" s="19" t="s">
        <v>24</v>
      </c>
      <c r="E78" s="20" t="s">
        <v>327</v>
      </c>
      <c r="F78" s="21" t="s">
        <v>26</v>
      </c>
      <c r="G78" s="22">
        <v>62675</v>
      </c>
      <c r="H78" s="22">
        <v>47408</v>
      </c>
      <c r="I78" s="22">
        <v>15267</v>
      </c>
      <c r="J78" s="23">
        <v>0.24358994814519347</v>
      </c>
      <c r="K78" s="412">
        <f t="shared" si="7"/>
        <v>6552.5</v>
      </c>
      <c r="L78" s="417">
        <v>7831</v>
      </c>
      <c r="M78" s="417">
        <v>6256</v>
      </c>
      <c r="N78" s="4">
        <v>6552.5</v>
      </c>
      <c r="O78" s="17" t="s">
        <v>351</v>
      </c>
      <c r="P78" s="17" t="s">
        <v>351</v>
      </c>
      <c r="Q78" s="18" t="s">
        <v>352</v>
      </c>
      <c r="R78" s="19" t="s">
        <v>24</v>
      </c>
      <c r="S78" s="20" t="s">
        <v>353</v>
      </c>
      <c r="T78" s="21" t="s">
        <v>26</v>
      </c>
      <c r="U78" s="10">
        <v>1.1819999999999999</v>
      </c>
      <c r="V78" s="10">
        <v>1.1659999999999999</v>
      </c>
      <c r="W78" s="11">
        <v>0.25</v>
      </c>
      <c r="X78" s="11">
        <v>0.75</v>
      </c>
      <c r="Y78" s="11">
        <f t="shared" si="8"/>
        <v>1.17</v>
      </c>
      <c r="Z78" s="11" t="s">
        <v>33</v>
      </c>
      <c r="AA78" s="11" t="s">
        <v>33</v>
      </c>
      <c r="AC78" s="26" t="s">
        <v>263</v>
      </c>
      <c r="AD78" s="26" t="s">
        <v>263</v>
      </c>
      <c r="AE78" s="27" t="s">
        <v>329</v>
      </c>
      <c r="AF78" s="28" t="s">
        <v>24</v>
      </c>
      <c r="AG78" s="29" t="s">
        <v>330</v>
      </c>
      <c r="AH78" s="26" t="s">
        <v>26</v>
      </c>
      <c r="AI78" s="30">
        <v>20</v>
      </c>
      <c r="AJ78" s="30" t="s">
        <v>34</v>
      </c>
      <c r="AK78" s="31">
        <v>11883.5</v>
      </c>
      <c r="AM78" s="26" t="s">
        <v>343</v>
      </c>
      <c r="AN78" s="27" t="s">
        <v>344</v>
      </c>
      <c r="AO78" s="28" t="s">
        <v>24</v>
      </c>
      <c r="AP78" s="29" t="s">
        <v>345</v>
      </c>
      <c r="AQ78" s="26" t="s">
        <v>26</v>
      </c>
      <c r="AR78" s="32">
        <v>91604281.359999999</v>
      </c>
    </row>
    <row r="79" spans="1:44" ht="14.4">
      <c r="A79" s="17" t="s">
        <v>263</v>
      </c>
      <c r="B79" s="17" t="s">
        <v>263</v>
      </c>
      <c r="C79" s="18" t="s">
        <v>329</v>
      </c>
      <c r="D79" s="19" t="s">
        <v>24</v>
      </c>
      <c r="E79" s="20" t="s">
        <v>330</v>
      </c>
      <c r="F79" s="21" t="s">
        <v>26</v>
      </c>
      <c r="G79" s="22">
        <v>63611</v>
      </c>
      <c r="H79" s="22">
        <v>23727</v>
      </c>
      <c r="I79" s="22">
        <v>39884</v>
      </c>
      <c r="J79" s="23">
        <v>0.62699847510650675</v>
      </c>
      <c r="K79" s="412">
        <f t="shared" si="7"/>
        <v>3871</v>
      </c>
      <c r="L79" s="417">
        <v>3871</v>
      </c>
      <c r="M79" s="417">
        <v>6075</v>
      </c>
      <c r="N79" s="4">
        <v>3871</v>
      </c>
      <c r="O79" s="35" t="s">
        <v>354</v>
      </c>
      <c r="P79" s="35" t="s">
        <v>263</v>
      </c>
      <c r="Q79" s="36" t="s">
        <v>355</v>
      </c>
      <c r="R79" s="37" t="s">
        <v>37</v>
      </c>
      <c r="S79" s="38" t="s">
        <v>356</v>
      </c>
      <c r="T79" s="35" t="s">
        <v>46</v>
      </c>
      <c r="U79" s="10" t="s">
        <v>42</v>
      </c>
      <c r="V79" s="10" t="s">
        <v>42</v>
      </c>
      <c r="W79" s="11">
        <v>0.25</v>
      </c>
      <c r="X79" s="11">
        <v>0.75</v>
      </c>
      <c r="Y79" s="11">
        <f t="shared" si="8"/>
        <v>1</v>
      </c>
      <c r="Z79" s="11" t="s">
        <v>33</v>
      </c>
      <c r="AA79" s="11" t="s">
        <v>33</v>
      </c>
      <c r="AC79" s="26" t="s">
        <v>331</v>
      </c>
      <c r="AD79" s="26" t="s">
        <v>331</v>
      </c>
      <c r="AE79" s="27" t="s">
        <v>332</v>
      </c>
      <c r="AF79" s="28" t="s">
        <v>24</v>
      </c>
      <c r="AG79" s="29" t="s">
        <v>333</v>
      </c>
      <c r="AH79" s="26" t="s">
        <v>26</v>
      </c>
      <c r="AI79" s="30">
        <v>0</v>
      </c>
      <c r="AJ79" s="30" t="s">
        <v>34</v>
      </c>
      <c r="AK79" s="31">
        <v>168.5</v>
      </c>
      <c r="AM79" s="26" t="s">
        <v>346</v>
      </c>
      <c r="AN79" s="27" t="s">
        <v>161</v>
      </c>
      <c r="AO79" s="28" t="s">
        <v>24</v>
      </c>
      <c r="AP79" s="29" t="s">
        <v>347</v>
      </c>
      <c r="AQ79" s="26" t="s">
        <v>26</v>
      </c>
      <c r="AR79" s="32">
        <v>2354753.13</v>
      </c>
    </row>
    <row r="80" spans="1:44" ht="14.4">
      <c r="A80" s="17" t="s">
        <v>331</v>
      </c>
      <c r="B80" s="17" t="s">
        <v>331</v>
      </c>
      <c r="C80" s="18" t="s">
        <v>332</v>
      </c>
      <c r="D80" s="19" t="s">
        <v>24</v>
      </c>
      <c r="E80" s="20" t="s">
        <v>333</v>
      </c>
      <c r="F80" s="21" t="s">
        <v>26</v>
      </c>
      <c r="G80" s="22">
        <v>340</v>
      </c>
      <c r="H80" s="22">
        <v>0</v>
      </c>
      <c r="I80" s="22">
        <v>340</v>
      </c>
      <c r="J80" s="23">
        <v>1</v>
      </c>
      <c r="K80" s="412">
        <f t="shared" si="7"/>
        <v>0</v>
      </c>
      <c r="L80" s="417">
        <v>0</v>
      </c>
      <c r="M80" s="417">
        <v>90.5</v>
      </c>
      <c r="N80" s="4">
        <v>0</v>
      </c>
      <c r="O80" s="24" t="s">
        <v>134</v>
      </c>
      <c r="P80" s="17" t="s">
        <v>36</v>
      </c>
      <c r="Q80" s="18" t="s">
        <v>37</v>
      </c>
      <c r="R80" s="19" t="s">
        <v>135</v>
      </c>
      <c r="S80" s="20" t="s">
        <v>136</v>
      </c>
      <c r="T80" s="21" t="s">
        <v>32</v>
      </c>
      <c r="U80" s="10">
        <v>1.034</v>
      </c>
      <c r="V80" s="10" t="s">
        <v>42</v>
      </c>
      <c r="W80" s="11">
        <v>0.25</v>
      </c>
      <c r="X80" s="11">
        <v>0.75</v>
      </c>
      <c r="Y80" s="11">
        <f t="shared" si="8"/>
        <v>1.0085</v>
      </c>
      <c r="Z80" s="11" t="s">
        <v>33</v>
      </c>
      <c r="AA80" s="11" t="s">
        <v>33</v>
      </c>
      <c r="AC80" s="26" t="s">
        <v>334</v>
      </c>
      <c r="AD80" s="26" t="s">
        <v>334</v>
      </c>
      <c r="AE80" s="27" t="s">
        <v>335</v>
      </c>
      <c r="AF80" s="28" t="s">
        <v>24</v>
      </c>
      <c r="AG80" s="29" t="s">
        <v>336</v>
      </c>
      <c r="AH80" s="26" t="s">
        <v>26</v>
      </c>
      <c r="AI80" s="30">
        <v>4</v>
      </c>
      <c r="AJ80" s="30" t="s">
        <v>34</v>
      </c>
      <c r="AK80" s="31">
        <v>3154</v>
      </c>
      <c r="AM80" s="26" t="s">
        <v>351</v>
      </c>
      <c r="AN80" s="27" t="s">
        <v>352</v>
      </c>
      <c r="AO80" s="28" t="s">
        <v>24</v>
      </c>
      <c r="AP80" s="29" t="s">
        <v>353</v>
      </c>
      <c r="AQ80" s="26" t="s">
        <v>26</v>
      </c>
      <c r="AR80" s="32">
        <v>1639962.1</v>
      </c>
    </row>
    <row r="81" spans="1:44" ht="14.4">
      <c r="A81" s="17" t="s">
        <v>334</v>
      </c>
      <c r="B81" s="17" t="s">
        <v>334</v>
      </c>
      <c r="C81" s="18" t="s">
        <v>335</v>
      </c>
      <c r="D81" s="19" t="s">
        <v>24</v>
      </c>
      <c r="E81" s="20" t="s">
        <v>336</v>
      </c>
      <c r="F81" s="21" t="s">
        <v>26</v>
      </c>
      <c r="G81" s="22">
        <v>27088</v>
      </c>
      <c r="H81" s="22">
        <v>12152</v>
      </c>
      <c r="I81" s="22">
        <v>14936</v>
      </c>
      <c r="J81" s="23">
        <v>0.55138806851742472</v>
      </c>
      <c r="K81" s="412">
        <f t="shared" si="7"/>
        <v>1757</v>
      </c>
      <c r="L81" s="417">
        <v>1757</v>
      </c>
      <c r="M81" s="417">
        <v>1551</v>
      </c>
      <c r="N81" s="4">
        <v>1757</v>
      </c>
      <c r="O81" s="35" t="s">
        <v>357</v>
      </c>
      <c r="P81" s="35" t="s">
        <v>107</v>
      </c>
      <c r="Q81" s="36" t="s">
        <v>358</v>
      </c>
      <c r="R81" s="37" t="s">
        <v>37</v>
      </c>
      <c r="S81" s="38" t="s">
        <v>359</v>
      </c>
      <c r="T81" s="35" t="s">
        <v>46</v>
      </c>
      <c r="U81" s="10">
        <v>1.0629999999999999</v>
      </c>
      <c r="V81" s="10">
        <v>1.044</v>
      </c>
      <c r="W81" s="11">
        <v>0.25</v>
      </c>
      <c r="X81" s="11">
        <v>0.75</v>
      </c>
      <c r="Y81" s="11">
        <f t="shared" si="8"/>
        <v>1.0487500000000001</v>
      </c>
      <c r="Z81" s="11" t="s">
        <v>33</v>
      </c>
      <c r="AA81" s="11" t="s">
        <v>33</v>
      </c>
      <c r="AC81" s="26" t="s">
        <v>338</v>
      </c>
      <c r="AD81" s="26" t="s">
        <v>338</v>
      </c>
      <c r="AE81" s="27" t="s">
        <v>268</v>
      </c>
      <c r="AF81" s="28" t="s">
        <v>24</v>
      </c>
      <c r="AG81" s="29" t="s">
        <v>339</v>
      </c>
      <c r="AH81" s="26" t="s">
        <v>26</v>
      </c>
      <c r="AI81" s="30">
        <v>0</v>
      </c>
      <c r="AJ81" s="30" t="s">
        <v>34</v>
      </c>
      <c r="AK81" s="31">
        <v>382</v>
      </c>
      <c r="AM81" s="26" t="s">
        <v>360</v>
      </c>
      <c r="AN81" s="27" t="s">
        <v>361</v>
      </c>
      <c r="AO81" s="28" t="s">
        <v>24</v>
      </c>
      <c r="AP81" s="29" t="s">
        <v>362</v>
      </c>
      <c r="AQ81" s="26" t="s">
        <v>26</v>
      </c>
      <c r="AR81" s="32">
        <v>4431019.21</v>
      </c>
    </row>
    <row r="82" spans="1:44" ht="14.4">
      <c r="A82" s="17" t="s">
        <v>338</v>
      </c>
      <c r="B82" s="17" t="s">
        <v>338</v>
      </c>
      <c r="C82" s="18" t="s">
        <v>268</v>
      </c>
      <c r="D82" s="19" t="s">
        <v>24</v>
      </c>
      <c r="E82" s="20" t="s">
        <v>339</v>
      </c>
      <c r="F82" s="21" t="s">
        <v>26</v>
      </c>
      <c r="G82" s="22">
        <v>2223</v>
      </c>
      <c r="H82" s="22">
        <v>0</v>
      </c>
      <c r="I82" s="22">
        <v>2223</v>
      </c>
      <c r="J82" s="23">
        <v>1</v>
      </c>
      <c r="K82" s="412">
        <f t="shared" si="7"/>
        <v>196</v>
      </c>
      <c r="L82" s="417">
        <v>202</v>
      </c>
      <c r="M82" s="417">
        <v>187</v>
      </c>
      <c r="N82" s="4">
        <v>196</v>
      </c>
      <c r="O82" s="17" t="s">
        <v>360</v>
      </c>
      <c r="P82" s="17" t="s">
        <v>360</v>
      </c>
      <c r="Q82" s="18" t="s">
        <v>361</v>
      </c>
      <c r="R82" s="19" t="s">
        <v>24</v>
      </c>
      <c r="S82" s="20" t="s">
        <v>362</v>
      </c>
      <c r="T82" s="21" t="s">
        <v>26</v>
      </c>
      <c r="U82" s="10">
        <v>1.0860000000000001</v>
      </c>
      <c r="V82" s="10">
        <v>1.073</v>
      </c>
      <c r="W82" s="11">
        <v>0.25</v>
      </c>
      <c r="X82" s="11">
        <v>0.75</v>
      </c>
      <c r="Y82" s="11">
        <f t="shared" si="8"/>
        <v>1.0762499999999999</v>
      </c>
      <c r="Z82" s="11" t="s">
        <v>33</v>
      </c>
      <c r="AA82" s="11" t="s">
        <v>33</v>
      </c>
      <c r="AC82" s="26" t="s">
        <v>340</v>
      </c>
      <c r="AD82" s="26" t="s">
        <v>340</v>
      </c>
      <c r="AE82" s="27" t="s">
        <v>341</v>
      </c>
      <c r="AF82" s="28" t="s">
        <v>24</v>
      </c>
      <c r="AG82" s="29" t="s">
        <v>342</v>
      </c>
      <c r="AH82" s="26" t="s">
        <v>26</v>
      </c>
      <c r="AI82" s="30">
        <v>0</v>
      </c>
      <c r="AJ82" s="30" t="s">
        <v>34</v>
      </c>
      <c r="AK82" s="31">
        <v>1189</v>
      </c>
      <c r="AM82" s="26" t="s">
        <v>363</v>
      </c>
      <c r="AN82" s="27" t="s">
        <v>364</v>
      </c>
      <c r="AO82" s="28" t="s">
        <v>24</v>
      </c>
      <c r="AP82" s="29" t="s">
        <v>365</v>
      </c>
      <c r="AQ82" s="26" t="s">
        <v>26</v>
      </c>
      <c r="AR82" s="32">
        <v>3142408.25</v>
      </c>
    </row>
    <row r="83" spans="1:44" ht="14.4">
      <c r="A83" s="17" t="s">
        <v>340</v>
      </c>
      <c r="B83" s="17" t="s">
        <v>340</v>
      </c>
      <c r="C83" s="18" t="s">
        <v>341</v>
      </c>
      <c r="D83" s="19" t="s">
        <v>24</v>
      </c>
      <c r="E83" s="20" t="s">
        <v>342</v>
      </c>
      <c r="F83" s="21" t="s">
        <v>26</v>
      </c>
      <c r="G83" s="22">
        <v>5819</v>
      </c>
      <c r="H83" s="22">
        <v>0</v>
      </c>
      <c r="I83" s="22">
        <v>5819</v>
      </c>
      <c r="J83" s="23">
        <v>1</v>
      </c>
      <c r="K83" s="412">
        <f t="shared" si="7"/>
        <v>634.5</v>
      </c>
      <c r="L83" s="417">
        <v>641</v>
      </c>
      <c r="M83" s="417">
        <v>591.5</v>
      </c>
      <c r="N83" s="4">
        <v>634.5</v>
      </c>
      <c r="O83" s="24" t="s">
        <v>266</v>
      </c>
      <c r="P83" s="17" t="s">
        <v>189</v>
      </c>
      <c r="Q83" s="18" t="s">
        <v>190</v>
      </c>
      <c r="R83" s="19" t="s">
        <v>37</v>
      </c>
      <c r="S83" s="20" t="s">
        <v>261</v>
      </c>
      <c r="T83" s="21" t="s">
        <v>32</v>
      </c>
      <c r="U83" s="10">
        <v>1.0149999999999999</v>
      </c>
      <c r="V83" s="10" t="s">
        <v>42</v>
      </c>
      <c r="W83" s="11">
        <v>0.25</v>
      </c>
      <c r="X83" s="11">
        <v>0.75</v>
      </c>
      <c r="Y83" s="11">
        <f t="shared" si="8"/>
        <v>1.0037499999999999</v>
      </c>
      <c r="Z83" s="11" t="s">
        <v>33</v>
      </c>
      <c r="AA83" s="11" t="s">
        <v>33</v>
      </c>
      <c r="AC83" s="26" t="s">
        <v>343</v>
      </c>
      <c r="AD83" s="26" t="s">
        <v>343</v>
      </c>
      <c r="AE83" s="27" t="s">
        <v>344</v>
      </c>
      <c r="AF83" s="28" t="s">
        <v>24</v>
      </c>
      <c r="AG83" s="29" t="s">
        <v>345</v>
      </c>
      <c r="AH83" s="26" t="s">
        <v>26</v>
      </c>
      <c r="AI83" s="30">
        <v>7</v>
      </c>
      <c r="AJ83" s="30" t="s">
        <v>34</v>
      </c>
      <c r="AK83" s="31">
        <v>9660</v>
      </c>
      <c r="AM83" s="26" t="s">
        <v>366</v>
      </c>
      <c r="AN83" s="27" t="s">
        <v>93</v>
      </c>
      <c r="AO83" s="28" t="s">
        <v>24</v>
      </c>
      <c r="AP83" s="29" t="s">
        <v>367</v>
      </c>
      <c r="AQ83" s="26" t="s">
        <v>26</v>
      </c>
      <c r="AR83" s="32">
        <v>2545927.12</v>
      </c>
    </row>
    <row r="84" spans="1:44" ht="14.4">
      <c r="A84" s="17" t="s">
        <v>343</v>
      </c>
      <c r="B84" s="17" t="s">
        <v>343</v>
      </c>
      <c r="C84" s="18" t="s">
        <v>344</v>
      </c>
      <c r="D84" s="19" t="s">
        <v>24</v>
      </c>
      <c r="E84" s="20" t="s">
        <v>345</v>
      </c>
      <c r="F84" s="21" t="s">
        <v>26</v>
      </c>
      <c r="G84" s="22">
        <v>43019</v>
      </c>
      <c r="H84" s="22">
        <v>36696</v>
      </c>
      <c r="I84" s="22">
        <v>6323</v>
      </c>
      <c r="J84" s="23">
        <v>0.14698156628466491</v>
      </c>
      <c r="K84" s="412">
        <f t="shared" si="7"/>
        <v>1994</v>
      </c>
      <c r="L84" s="417">
        <v>1994</v>
      </c>
      <c r="M84" s="417">
        <v>5136.5</v>
      </c>
      <c r="N84" s="4">
        <v>1994</v>
      </c>
      <c r="O84" s="17" t="s">
        <v>363</v>
      </c>
      <c r="P84" s="17" t="s">
        <v>363</v>
      </c>
      <c r="Q84" s="18" t="s">
        <v>364</v>
      </c>
      <c r="R84" s="19" t="s">
        <v>24</v>
      </c>
      <c r="S84" s="20" t="s">
        <v>365</v>
      </c>
      <c r="T84" s="21" t="s">
        <v>26</v>
      </c>
      <c r="U84" s="10">
        <v>1.165</v>
      </c>
      <c r="V84" s="10">
        <v>1.111</v>
      </c>
      <c r="W84" s="11">
        <v>0.25</v>
      </c>
      <c r="X84" s="11">
        <v>0.75</v>
      </c>
      <c r="Y84" s="11">
        <f t="shared" si="8"/>
        <v>1.1245000000000001</v>
      </c>
      <c r="Z84" s="11" t="s">
        <v>33</v>
      </c>
      <c r="AA84" s="11" t="s">
        <v>33</v>
      </c>
      <c r="AC84" s="26" t="s">
        <v>346</v>
      </c>
      <c r="AD84" s="26" t="s">
        <v>346</v>
      </c>
      <c r="AE84" s="27" t="s">
        <v>161</v>
      </c>
      <c r="AF84" s="28" t="s">
        <v>24</v>
      </c>
      <c r="AG84" s="29" t="s">
        <v>347</v>
      </c>
      <c r="AH84" s="26" t="s">
        <v>26</v>
      </c>
      <c r="AI84" s="30">
        <v>0</v>
      </c>
      <c r="AJ84" s="30" t="s">
        <v>34</v>
      </c>
      <c r="AK84" s="31">
        <v>133</v>
      </c>
      <c r="AM84" s="39" t="s">
        <v>368</v>
      </c>
      <c r="AN84" s="27" t="s">
        <v>93</v>
      </c>
      <c r="AO84" s="28" t="s">
        <v>369</v>
      </c>
      <c r="AP84" s="29" t="s">
        <v>370</v>
      </c>
      <c r="AQ84" s="26" t="s">
        <v>32</v>
      </c>
      <c r="AR84" s="32">
        <v>1000340.82</v>
      </c>
    </row>
    <row r="85" spans="1:44" ht="14.4">
      <c r="A85" s="17" t="s">
        <v>346</v>
      </c>
      <c r="B85" s="17" t="s">
        <v>346</v>
      </c>
      <c r="C85" s="18" t="s">
        <v>161</v>
      </c>
      <c r="D85" s="19" t="s">
        <v>24</v>
      </c>
      <c r="E85" s="20" t="s">
        <v>347</v>
      </c>
      <c r="F85" s="21" t="s">
        <v>26</v>
      </c>
      <c r="G85" s="22">
        <v>975</v>
      </c>
      <c r="H85" s="22">
        <v>0</v>
      </c>
      <c r="I85" s="22">
        <v>975</v>
      </c>
      <c r="J85" s="23">
        <v>1</v>
      </c>
      <c r="K85" s="412">
        <f t="shared" si="7"/>
        <v>69</v>
      </c>
      <c r="L85" s="417">
        <v>69</v>
      </c>
      <c r="M85" s="417">
        <v>65.5</v>
      </c>
      <c r="N85" s="4">
        <v>69</v>
      </c>
      <c r="O85" s="17" t="s">
        <v>366</v>
      </c>
      <c r="P85" s="17" t="s">
        <v>366</v>
      </c>
      <c r="Q85" s="18" t="s">
        <v>93</v>
      </c>
      <c r="R85" s="19" t="s">
        <v>24</v>
      </c>
      <c r="S85" s="20" t="s">
        <v>367</v>
      </c>
      <c r="T85" s="21" t="s">
        <v>26</v>
      </c>
      <c r="U85" s="10">
        <v>1.1279999999999999</v>
      </c>
      <c r="V85" s="10">
        <v>1.099</v>
      </c>
      <c r="W85" s="11">
        <v>0.25</v>
      </c>
      <c r="X85" s="11">
        <v>0.75</v>
      </c>
      <c r="Y85" s="11">
        <f t="shared" si="8"/>
        <v>1.10625</v>
      </c>
      <c r="Z85" s="11" t="s">
        <v>33</v>
      </c>
      <c r="AA85" s="11" t="s">
        <v>33</v>
      </c>
      <c r="AC85" s="26" t="s">
        <v>351</v>
      </c>
      <c r="AD85" s="26" t="s">
        <v>351</v>
      </c>
      <c r="AE85" s="27" t="s">
        <v>352</v>
      </c>
      <c r="AF85" s="28" t="s">
        <v>24</v>
      </c>
      <c r="AG85" s="29" t="s">
        <v>353</v>
      </c>
      <c r="AH85" s="26" t="s">
        <v>26</v>
      </c>
      <c r="AI85" s="30">
        <v>0</v>
      </c>
      <c r="AJ85" s="30" t="s">
        <v>34</v>
      </c>
      <c r="AK85" s="31">
        <v>58</v>
      </c>
      <c r="AM85" s="26" t="s">
        <v>371</v>
      </c>
      <c r="AN85" s="27" t="s">
        <v>372</v>
      </c>
      <c r="AO85" s="28" t="s">
        <v>24</v>
      </c>
      <c r="AP85" s="29" t="s">
        <v>373</v>
      </c>
      <c r="AQ85" s="26" t="s">
        <v>26</v>
      </c>
      <c r="AR85" s="32">
        <v>1982824.74</v>
      </c>
    </row>
    <row r="86" spans="1:44" ht="14.4">
      <c r="A86" s="17" t="s">
        <v>351</v>
      </c>
      <c r="B86" s="17" t="s">
        <v>351</v>
      </c>
      <c r="C86" s="18" t="s">
        <v>352</v>
      </c>
      <c r="D86" s="19" t="s">
        <v>24</v>
      </c>
      <c r="E86" s="20" t="s">
        <v>353</v>
      </c>
      <c r="F86" s="21" t="s">
        <v>26</v>
      </c>
      <c r="G86" s="22">
        <v>258</v>
      </c>
      <c r="H86" s="22">
        <v>0</v>
      </c>
      <c r="I86" s="22">
        <v>258</v>
      </c>
      <c r="J86" s="23">
        <v>1</v>
      </c>
      <c r="K86" s="412">
        <f t="shared" si="7"/>
        <v>0</v>
      </c>
      <c r="L86" s="417">
        <v>0</v>
      </c>
      <c r="M86" s="417">
        <v>30</v>
      </c>
      <c r="N86" s="4">
        <v>0</v>
      </c>
      <c r="O86" s="24" t="s">
        <v>140</v>
      </c>
      <c r="P86" s="17" t="s">
        <v>36</v>
      </c>
      <c r="Q86" s="18" t="s">
        <v>37</v>
      </c>
      <c r="R86" s="19" t="s">
        <v>141</v>
      </c>
      <c r="S86" s="20" t="s">
        <v>142</v>
      </c>
      <c r="T86" s="21" t="s">
        <v>32</v>
      </c>
      <c r="U86" s="10">
        <v>1.103</v>
      </c>
      <c r="V86" s="10">
        <v>1.153</v>
      </c>
      <c r="W86" s="11">
        <v>0.25</v>
      </c>
      <c r="X86" s="11">
        <v>0.75</v>
      </c>
      <c r="Y86" s="11">
        <f t="shared" si="8"/>
        <v>1.1405000000000001</v>
      </c>
      <c r="Z86" s="11" t="s">
        <v>33</v>
      </c>
      <c r="AA86" s="11" t="s">
        <v>33</v>
      </c>
      <c r="AC86" s="26" t="s">
        <v>360</v>
      </c>
      <c r="AD86" s="26" t="s">
        <v>360</v>
      </c>
      <c r="AE86" s="27" t="s">
        <v>361</v>
      </c>
      <c r="AF86" s="28" t="s">
        <v>24</v>
      </c>
      <c r="AG86" s="29" t="s">
        <v>362</v>
      </c>
      <c r="AH86" s="26" t="s">
        <v>26</v>
      </c>
      <c r="AI86" s="30">
        <v>0</v>
      </c>
      <c r="AJ86" s="30" t="s">
        <v>34</v>
      </c>
      <c r="AK86" s="31">
        <v>444</v>
      </c>
      <c r="AM86" s="26" t="s">
        <v>107</v>
      </c>
      <c r="AN86" s="27" t="s">
        <v>147</v>
      </c>
      <c r="AO86" s="28" t="s">
        <v>24</v>
      </c>
      <c r="AP86" s="29" t="s">
        <v>374</v>
      </c>
      <c r="AQ86" s="26" t="s">
        <v>26</v>
      </c>
      <c r="AR86" s="32">
        <v>209428573.84999999</v>
      </c>
    </row>
    <row r="87" spans="1:44" ht="14.4">
      <c r="A87" s="17" t="s">
        <v>360</v>
      </c>
      <c r="B87" s="17" t="s">
        <v>360</v>
      </c>
      <c r="C87" s="18" t="s">
        <v>361</v>
      </c>
      <c r="D87" s="19" t="s">
        <v>24</v>
      </c>
      <c r="E87" s="20" t="s">
        <v>362</v>
      </c>
      <c r="F87" s="21" t="s">
        <v>26</v>
      </c>
      <c r="G87" s="22">
        <v>2156</v>
      </c>
      <c r="H87" s="22">
        <v>0</v>
      </c>
      <c r="I87" s="22">
        <v>2156</v>
      </c>
      <c r="J87" s="23">
        <v>1</v>
      </c>
      <c r="K87" s="412">
        <f t="shared" si="7"/>
        <v>0</v>
      </c>
      <c r="L87" s="417">
        <v>0</v>
      </c>
      <c r="M87" s="417">
        <v>240</v>
      </c>
      <c r="N87" s="4">
        <v>0</v>
      </c>
      <c r="O87" s="35" t="s">
        <v>375</v>
      </c>
      <c r="P87" s="35" t="s">
        <v>107</v>
      </c>
      <c r="Q87" s="36" t="s">
        <v>376</v>
      </c>
      <c r="R87" s="37" t="s">
        <v>37</v>
      </c>
      <c r="S87" s="38" t="s">
        <v>377</v>
      </c>
      <c r="T87" s="35" t="s">
        <v>46</v>
      </c>
      <c r="U87" s="10">
        <v>1.0369999999999999</v>
      </c>
      <c r="V87" s="10">
        <v>1.0669999999999999</v>
      </c>
      <c r="W87" s="11">
        <v>0.25</v>
      </c>
      <c r="X87" s="11">
        <v>0.75</v>
      </c>
      <c r="Y87" s="11">
        <f t="shared" si="8"/>
        <v>1.0594999999999999</v>
      </c>
      <c r="Z87" s="11" t="s">
        <v>33</v>
      </c>
      <c r="AA87" s="11" t="s">
        <v>33</v>
      </c>
      <c r="AC87" s="26" t="s">
        <v>363</v>
      </c>
      <c r="AD87" s="26" t="s">
        <v>363</v>
      </c>
      <c r="AE87" s="27" t="s">
        <v>364</v>
      </c>
      <c r="AF87" s="28" t="s">
        <v>24</v>
      </c>
      <c r="AG87" s="29" t="s">
        <v>365</v>
      </c>
      <c r="AH87" s="26" t="s">
        <v>26</v>
      </c>
      <c r="AI87" s="30">
        <v>0</v>
      </c>
      <c r="AJ87" s="30" t="s">
        <v>34</v>
      </c>
      <c r="AK87" s="31">
        <v>194</v>
      </c>
      <c r="AM87" s="26" t="s">
        <v>378</v>
      </c>
      <c r="AN87" s="27" t="s">
        <v>104</v>
      </c>
      <c r="AO87" s="28" t="s">
        <v>24</v>
      </c>
      <c r="AP87" s="29" t="s">
        <v>379</v>
      </c>
      <c r="AQ87" s="26" t="s">
        <v>26</v>
      </c>
      <c r="AR87" s="32">
        <v>15035592.289999999</v>
      </c>
    </row>
    <row r="88" spans="1:44" ht="14.4">
      <c r="A88" s="17" t="s">
        <v>363</v>
      </c>
      <c r="B88" s="17" t="s">
        <v>363</v>
      </c>
      <c r="C88" s="18" t="s">
        <v>364</v>
      </c>
      <c r="D88" s="19" t="s">
        <v>24</v>
      </c>
      <c r="E88" s="20" t="s">
        <v>365</v>
      </c>
      <c r="F88" s="21" t="s">
        <v>26</v>
      </c>
      <c r="G88" s="22">
        <v>1510</v>
      </c>
      <c r="H88" s="22">
        <v>0</v>
      </c>
      <c r="I88" s="22">
        <v>1510</v>
      </c>
      <c r="J88" s="23">
        <v>1</v>
      </c>
      <c r="K88" s="412">
        <f t="shared" si="7"/>
        <v>122.5</v>
      </c>
      <c r="L88" s="417">
        <v>181</v>
      </c>
      <c r="M88" s="417">
        <v>122.5</v>
      </c>
      <c r="N88" s="4">
        <v>121</v>
      </c>
      <c r="O88" s="35" t="s">
        <v>380</v>
      </c>
      <c r="P88" s="35" t="s">
        <v>300</v>
      </c>
      <c r="Q88" s="36" t="s">
        <v>381</v>
      </c>
      <c r="R88" s="37" t="s">
        <v>37</v>
      </c>
      <c r="S88" s="38" t="s">
        <v>382</v>
      </c>
      <c r="T88" s="35" t="s">
        <v>46</v>
      </c>
      <c r="U88" s="10">
        <v>1.083</v>
      </c>
      <c r="V88" s="10" t="s">
        <v>42</v>
      </c>
      <c r="W88" s="11">
        <v>0.25</v>
      </c>
      <c r="X88" s="11">
        <v>0.75</v>
      </c>
      <c r="Y88" s="11">
        <f t="shared" si="8"/>
        <v>1.02075</v>
      </c>
      <c r="Z88" s="11" t="s">
        <v>33</v>
      </c>
      <c r="AA88" s="11" t="s">
        <v>33</v>
      </c>
      <c r="AC88" s="26" t="s">
        <v>366</v>
      </c>
      <c r="AD88" s="26" t="s">
        <v>366</v>
      </c>
      <c r="AE88" s="27" t="s">
        <v>93</v>
      </c>
      <c r="AF88" s="28" t="s">
        <v>24</v>
      </c>
      <c r="AG88" s="29" t="s">
        <v>367</v>
      </c>
      <c r="AH88" s="26" t="s">
        <v>26</v>
      </c>
      <c r="AI88" s="30">
        <v>0</v>
      </c>
      <c r="AJ88" s="30" t="s">
        <v>34</v>
      </c>
      <c r="AK88" s="31">
        <v>275</v>
      </c>
      <c r="AM88" s="26" t="s">
        <v>383</v>
      </c>
      <c r="AN88" s="27" t="s">
        <v>201</v>
      </c>
      <c r="AO88" s="28" t="s">
        <v>24</v>
      </c>
      <c r="AP88" s="29" t="s">
        <v>384</v>
      </c>
      <c r="AQ88" s="26" t="s">
        <v>26</v>
      </c>
      <c r="AR88" s="32">
        <v>3802339.32</v>
      </c>
    </row>
    <row r="89" spans="1:44" ht="14.4">
      <c r="A89" s="17" t="s">
        <v>366</v>
      </c>
      <c r="B89" s="17" t="s">
        <v>366</v>
      </c>
      <c r="C89" s="18" t="s">
        <v>93</v>
      </c>
      <c r="D89" s="19" t="s">
        <v>24</v>
      </c>
      <c r="E89" s="20" t="s">
        <v>367</v>
      </c>
      <c r="F89" s="21" t="s">
        <v>26</v>
      </c>
      <c r="G89" s="22">
        <v>5273</v>
      </c>
      <c r="H89" s="22">
        <v>413</v>
      </c>
      <c r="I89" s="22">
        <v>4860</v>
      </c>
      <c r="J89" s="23">
        <v>0.92167646501043055</v>
      </c>
      <c r="K89" s="412">
        <f t="shared" si="7"/>
        <v>0</v>
      </c>
      <c r="L89" s="417">
        <v>0</v>
      </c>
      <c r="M89" s="417">
        <v>124.5</v>
      </c>
      <c r="N89" s="4">
        <v>0</v>
      </c>
      <c r="O89" s="17" t="s">
        <v>371</v>
      </c>
      <c r="P89" s="17" t="s">
        <v>371</v>
      </c>
      <c r="Q89" s="18" t="s">
        <v>372</v>
      </c>
      <c r="R89" s="19" t="s">
        <v>24</v>
      </c>
      <c r="S89" s="20" t="s">
        <v>373</v>
      </c>
      <c r="T89" s="21" t="s">
        <v>26</v>
      </c>
      <c r="U89" s="10">
        <v>1.1499999999999999</v>
      </c>
      <c r="V89" s="10">
        <v>1.1739999999999999</v>
      </c>
      <c r="W89" s="11">
        <v>0.25</v>
      </c>
      <c r="X89" s="11">
        <v>0.75</v>
      </c>
      <c r="Y89" s="11">
        <f t="shared" si="8"/>
        <v>1.1679999999999999</v>
      </c>
      <c r="Z89" s="11" t="s">
        <v>33</v>
      </c>
      <c r="AA89" s="11" t="s">
        <v>33</v>
      </c>
      <c r="AC89" s="39" t="s">
        <v>368</v>
      </c>
      <c r="AD89" s="26" t="s">
        <v>366</v>
      </c>
      <c r="AE89" s="27" t="s">
        <v>93</v>
      </c>
      <c r="AF89" s="28" t="s">
        <v>369</v>
      </c>
      <c r="AG89" s="29" t="s">
        <v>370</v>
      </c>
      <c r="AH89" s="26" t="s">
        <v>32</v>
      </c>
      <c r="AI89" s="30">
        <v>0</v>
      </c>
      <c r="AJ89" s="30" t="s">
        <v>34</v>
      </c>
      <c r="AK89" s="31">
        <v>80</v>
      </c>
      <c r="AM89" s="26" t="s">
        <v>385</v>
      </c>
      <c r="AN89" s="27" t="s">
        <v>386</v>
      </c>
      <c r="AO89" s="28" t="s">
        <v>24</v>
      </c>
      <c r="AP89" s="29" t="s">
        <v>387</v>
      </c>
      <c r="AQ89" s="26" t="s">
        <v>26</v>
      </c>
      <c r="AR89" s="32">
        <v>5360785.16</v>
      </c>
    </row>
    <row r="90" spans="1:44" ht="14.4">
      <c r="A90" s="24" t="s">
        <v>368</v>
      </c>
      <c r="B90" s="17" t="s">
        <v>366</v>
      </c>
      <c r="C90" s="18" t="s">
        <v>93</v>
      </c>
      <c r="D90" s="19" t="s">
        <v>369</v>
      </c>
      <c r="E90" s="20" t="s">
        <v>370</v>
      </c>
      <c r="F90" s="21" t="s">
        <v>32</v>
      </c>
      <c r="K90" s="412">
        <f t="shared" si="7"/>
        <v>58</v>
      </c>
      <c r="L90" s="417">
        <v>110</v>
      </c>
      <c r="M90" s="417">
        <v>58</v>
      </c>
      <c r="N90" s="4">
        <v>55</v>
      </c>
      <c r="O90" s="17" t="s">
        <v>107</v>
      </c>
      <c r="P90" s="17" t="s">
        <v>107</v>
      </c>
      <c r="Q90" s="18" t="s">
        <v>147</v>
      </c>
      <c r="R90" s="19" t="s">
        <v>24</v>
      </c>
      <c r="S90" s="20" t="s">
        <v>374</v>
      </c>
      <c r="T90" s="21" t="s">
        <v>26</v>
      </c>
      <c r="U90" s="10">
        <v>1.069</v>
      </c>
      <c r="V90" s="10">
        <v>1.0660000000000001</v>
      </c>
      <c r="W90" s="11">
        <v>0.25</v>
      </c>
      <c r="X90" s="11">
        <v>0.75</v>
      </c>
      <c r="Y90" s="11">
        <f t="shared" si="8"/>
        <v>1.0667500000000001</v>
      </c>
      <c r="Z90" s="11" t="s">
        <v>33</v>
      </c>
      <c r="AA90" s="11" t="s">
        <v>33</v>
      </c>
      <c r="AC90" s="40" t="s">
        <v>388</v>
      </c>
      <c r="AD90" s="40" t="s">
        <v>366</v>
      </c>
      <c r="AE90" s="41"/>
      <c r="AF90" s="40"/>
      <c r="AG90" s="40" t="s">
        <v>234</v>
      </c>
      <c r="AH90" s="40"/>
      <c r="AI90" s="47">
        <v>0</v>
      </c>
      <c r="AJ90" s="40"/>
      <c r="AK90" s="44">
        <v>355</v>
      </c>
      <c r="AM90" s="26" t="s">
        <v>389</v>
      </c>
      <c r="AN90" s="27" t="s">
        <v>390</v>
      </c>
      <c r="AO90" s="28" t="s">
        <v>24</v>
      </c>
      <c r="AP90" s="29" t="s">
        <v>391</v>
      </c>
      <c r="AQ90" s="26" t="s">
        <v>26</v>
      </c>
      <c r="AR90" s="32">
        <v>33454593.41</v>
      </c>
    </row>
    <row r="91" spans="1:44" ht="14.4">
      <c r="A91" s="45" t="s">
        <v>388</v>
      </c>
      <c r="B91" s="45" t="s">
        <v>366</v>
      </c>
      <c r="C91" s="46"/>
      <c r="D91" s="45"/>
      <c r="E91" s="45" t="s">
        <v>234</v>
      </c>
      <c r="F91" s="45"/>
      <c r="K91" s="47">
        <v>55</v>
      </c>
      <c r="L91" s="419">
        <v>110</v>
      </c>
      <c r="M91" s="419"/>
      <c r="N91" s="4">
        <v>55</v>
      </c>
      <c r="O91" s="35" t="s">
        <v>392</v>
      </c>
      <c r="P91" s="35" t="s">
        <v>107</v>
      </c>
      <c r="Q91" s="36" t="s">
        <v>393</v>
      </c>
      <c r="R91" s="37" t="s">
        <v>37</v>
      </c>
      <c r="S91" s="38" t="s">
        <v>394</v>
      </c>
      <c r="T91" s="35" t="s">
        <v>46</v>
      </c>
      <c r="U91" s="10">
        <v>1.151</v>
      </c>
      <c r="V91" s="10">
        <v>1.129</v>
      </c>
      <c r="W91" s="11">
        <v>0.25</v>
      </c>
      <c r="X91" s="11">
        <v>0.75</v>
      </c>
      <c r="Y91" s="11">
        <f t="shared" si="8"/>
        <v>1.1345000000000001</v>
      </c>
      <c r="Z91" s="11" t="s">
        <v>33</v>
      </c>
      <c r="AA91" s="11" t="s">
        <v>33</v>
      </c>
      <c r="AC91" s="26" t="s">
        <v>371</v>
      </c>
      <c r="AD91" s="26" t="s">
        <v>371</v>
      </c>
      <c r="AE91" s="27" t="s">
        <v>372</v>
      </c>
      <c r="AF91" s="28" t="s">
        <v>24</v>
      </c>
      <c r="AG91" s="29" t="s">
        <v>373</v>
      </c>
      <c r="AH91" s="26" t="s">
        <v>26</v>
      </c>
      <c r="AI91" s="30">
        <v>0</v>
      </c>
      <c r="AJ91" s="30" t="s">
        <v>34</v>
      </c>
      <c r="AK91" s="31">
        <v>108</v>
      </c>
      <c r="AM91" s="26" t="s">
        <v>395</v>
      </c>
      <c r="AN91" s="27" t="s">
        <v>396</v>
      </c>
      <c r="AO91" s="28" t="s">
        <v>24</v>
      </c>
      <c r="AP91" s="29" t="s">
        <v>397</v>
      </c>
      <c r="AQ91" s="26" t="s">
        <v>26</v>
      </c>
      <c r="AR91" s="32">
        <v>71050635.900000006</v>
      </c>
    </row>
    <row r="92" spans="1:44" ht="14.4">
      <c r="A92" s="17" t="s">
        <v>371</v>
      </c>
      <c r="B92" s="17" t="s">
        <v>371</v>
      </c>
      <c r="C92" s="18" t="s">
        <v>372</v>
      </c>
      <c r="D92" s="19" t="s">
        <v>24</v>
      </c>
      <c r="E92" s="20" t="s">
        <v>373</v>
      </c>
      <c r="F92" s="21" t="s">
        <v>26</v>
      </c>
      <c r="G92" s="22">
        <v>706</v>
      </c>
      <c r="H92" s="22">
        <v>0</v>
      </c>
      <c r="I92" s="22">
        <v>706</v>
      </c>
      <c r="J92" s="23">
        <v>1</v>
      </c>
      <c r="K92" s="412">
        <f t="shared" ref="K92:K119" si="9">MIN($L92,MAX($M92,$N92))</f>
        <v>49.5</v>
      </c>
      <c r="L92" s="417">
        <v>74</v>
      </c>
      <c r="M92" s="417">
        <v>49.5</v>
      </c>
      <c r="N92" s="4">
        <v>43.5</v>
      </c>
      <c r="O92" s="17" t="s">
        <v>378</v>
      </c>
      <c r="P92" s="17" t="s">
        <v>378</v>
      </c>
      <c r="Q92" s="18" t="s">
        <v>104</v>
      </c>
      <c r="R92" s="19" t="s">
        <v>24</v>
      </c>
      <c r="S92" s="20" t="s">
        <v>379</v>
      </c>
      <c r="T92" s="21" t="s">
        <v>26</v>
      </c>
      <c r="U92" s="10">
        <v>1.127</v>
      </c>
      <c r="V92" s="10">
        <v>1.0880000000000001</v>
      </c>
      <c r="W92" s="11">
        <v>0.25</v>
      </c>
      <c r="X92" s="11">
        <v>0.75</v>
      </c>
      <c r="Y92" s="11">
        <f t="shared" si="8"/>
        <v>1.09775</v>
      </c>
      <c r="Z92" s="11" t="s">
        <v>33</v>
      </c>
      <c r="AA92" s="11" t="s">
        <v>33</v>
      </c>
      <c r="AC92" s="26" t="s">
        <v>107</v>
      </c>
      <c r="AD92" s="26" t="s">
        <v>107</v>
      </c>
      <c r="AE92" s="27" t="s">
        <v>147</v>
      </c>
      <c r="AF92" s="28" t="s">
        <v>24</v>
      </c>
      <c r="AG92" s="29" t="s">
        <v>374</v>
      </c>
      <c r="AH92" s="26" t="s">
        <v>26</v>
      </c>
      <c r="AI92" s="30">
        <v>33</v>
      </c>
      <c r="AJ92" s="30" t="s">
        <v>34</v>
      </c>
      <c r="AK92" s="31">
        <v>23114</v>
      </c>
      <c r="AM92" s="26" t="s">
        <v>398</v>
      </c>
      <c r="AN92" s="27" t="s">
        <v>399</v>
      </c>
      <c r="AO92" s="28" t="s">
        <v>24</v>
      </c>
      <c r="AP92" s="29" t="s">
        <v>400</v>
      </c>
      <c r="AQ92" s="26" t="s">
        <v>26</v>
      </c>
      <c r="AR92" s="32">
        <v>6717307.0700000003</v>
      </c>
    </row>
    <row r="93" spans="1:44" ht="14.4">
      <c r="A93" s="17" t="s">
        <v>107</v>
      </c>
      <c r="B93" s="17" t="s">
        <v>107</v>
      </c>
      <c r="C93" s="18" t="s">
        <v>147</v>
      </c>
      <c r="D93" s="19" t="s">
        <v>24</v>
      </c>
      <c r="E93" s="20" t="s">
        <v>374</v>
      </c>
      <c r="F93" s="21" t="s">
        <v>26</v>
      </c>
      <c r="G93" s="22">
        <v>149482</v>
      </c>
      <c r="H93" s="22">
        <v>128729</v>
      </c>
      <c r="I93" s="22">
        <v>20753</v>
      </c>
      <c r="J93" s="23">
        <v>0.13883276916284235</v>
      </c>
      <c r="K93" s="412">
        <f t="shared" si="9"/>
        <v>6305</v>
      </c>
      <c r="L93" s="417">
        <v>6305</v>
      </c>
      <c r="M93" s="417">
        <v>11725.5</v>
      </c>
      <c r="N93" s="4">
        <v>6305</v>
      </c>
      <c r="O93" s="17" t="s">
        <v>383</v>
      </c>
      <c r="P93" s="17" t="s">
        <v>383</v>
      </c>
      <c r="Q93" s="18" t="s">
        <v>201</v>
      </c>
      <c r="R93" s="19" t="s">
        <v>24</v>
      </c>
      <c r="S93" s="20" t="s">
        <v>384</v>
      </c>
      <c r="T93" s="21" t="s">
        <v>26</v>
      </c>
      <c r="U93" s="10">
        <v>1.151</v>
      </c>
      <c r="V93" s="10">
        <v>1.1599999999999999</v>
      </c>
      <c r="W93" s="11">
        <v>0.25</v>
      </c>
      <c r="X93" s="11">
        <v>0.75</v>
      </c>
      <c r="Y93" s="11">
        <f t="shared" si="8"/>
        <v>1.1577499999999998</v>
      </c>
      <c r="Z93" s="11" t="s">
        <v>33</v>
      </c>
      <c r="AA93" s="11" t="s">
        <v>33</v>
      </c>
      <c r="AC93" s="26" t="s">
        <v>378</v>
      </c>
      <c r="AD93" s="26" t="s">
        <v>378</v>
      </c>
      <c r="AE93" s="27" t="s">
        <v>104</v>
      </c>
      <c r="AF93" s="28" t="s">
        <v>24</v>
      </c>
      <c r="AG93" s="29" t="s">
        <v>379</v>
      </c>
      <c r="AH93" s="26" t="s">
        <v>26</v>
      </c>
      <c r="AI93" s="30">
        <v>0</v>
      </c>
      <c r="AJ93" s="30" t="s">
        <v>34</v>
      </c>
      <c r="AK93" s="31">
        <v>1287</v>
      </c>
      <c r="AM93" s="26" t="s">
        <v>401</v>
      </c>
      <c r="AN93" s="27" t="s">
        <v>402</v>
      </c>
      <c r="AO93" s="28" t="s">
        <v>24</v>
      </c>
      <c r="AP93" s="29" t="s">
        <v>403</v>
      </c>
      <c r="AQ93" s="26" t="s">
        <v>26</v>
      </c>
      <c r="AR93" s="32">
        <v>36355534.549999997</v>
      </c>
    </row>
    <row r="94" spans="1:44" ht="14.4">
      <c r="A94" s="17" t="s">
        <v>378</v>
      </c>
      <c r="B94" s="17" t="s">
        <v>378</v>
      </c>
      <c r="C94" s="18" t="s">
        <v>104</v>
      </c>
      <c r="D94" s="19" t="s">
        <v>24</v>
      </c>
      <c r="E94" s="20" t="s">
        <v>379</v>
      </c>
      <c r="F94" s="21" t="s">
        <v>26</v>
      </c>
      <c r="G94" s="22">
        <v>13348</v>
      </c>
      <c r="H94" s="22">
        <v>9756</v>
      </c>
      <c r="I94" s="22">
        <v>3592</v>
      </c>
      <c r="J94" s="23">
        <v>0.26910398561582261</v>
      </c>
      <c r="K94" s="412">
        <f t="shared" si="9"/>
        <v>324</v>
      </c>
      <c r="L94" s="417">
        <v>324</v>
      </c>
      <c r="M94" s="417">
        <v>664.5</v>
      </c>
      <c r="N94" s="4">
        <v>324</v>
      </c>
      <c r="O94" s="17" t="s">
        <v>385</v>
      </c>
      <c r="P94" s="17" t="s">
        <v>385</v>
      </c>
      <c r="Q94" s="18" t="s">
        <v>386</v>
      </c>
      <c r="R94" s="19" t="s">
        <v>24</v>
      </c>
      <c r="S94" s="20" t="s">
        <v>387</v>
      </c>
      <c r="T94" s="21" t="s">
        <v>26</v>
      </c>
      <c r="U94" s="10">
        <v>1.0589999999999999</v>
      </c>
      <c r="V94" s="10">
        <v>1.0489999999999999</v>
      </c>
      <c r="W94" s="11">
        <v>0.25</v>
      </c>
      <c r="X94" s="11">
        <v>0.75</v>
      </c>
      <c r="Y94" s="11">
        <f t="shared" si="8"/>
        <v>1.0514999999999999</v>
      </c>
      <c r="Z94" s="11" t="s">
        <v>33</v>
      </c>
      <c r="AA94" s="11" t="s">
        <v>33</v>
      </c>
      <c r="AC94" s="26" t="s">
        <v>383</v>
      </c>
      <c r="AD94" s="26" t="s">
        <v>383</v>
      </c>
      <c r="AE94" s="27" t="s">
        <v>201</v>
      </c>
      <c r="AF94" s="28" t="s">
        <v>24</v>
      </c>
      <c r="AG94" s="29" t="s">
        <v>384</v>
      </c>
      <c r="AH94" s="26" t="s">
        <v>26</v>
      </c>
      <c r="AI94" s="30">
        <v>1</v>
      </c>
      <c r="AJ94" s="30" t="s">
        <v>34</v>
      </c>
      <c r="AK94" s="31">
        <v>300</v>
      </c>
      <c r="AM94" s="26" t="s">
        <v>404</v>
      </c>
      <c r="AN94" s="27" t="s">
        <v>405</v>
      </c>
      <c r="AO94" s="28" t="s">
        <v>24</v>
      </c>
      <c r="AP94" s="29" t="s">
        <v>406</v>
      </c>
      <c r="AQ94" s="26" t="s">
        <v>26</v>
      </c>
      <c r="AR94" s="32">
        <v>3675173.05</v>
      </c>
    </row>
    <row r="95" spans="1:44" ht="14.4">
      <c r="A95" s="17" t="s">
        <v>383</v>
      </c>
      <c r="B95" s="17" t="s">
        <v>383</v>
      </c>
      <c r="C95" s="18" t="s">
        <v>201</v>
      </c>
      <c r="D95" s="19" t="s">
        <v>24</v>
      </c>
      <c r="E95" s="20" t="s">
        <v>384</v>
      </c>
      <c r="F95" s="21" t="s">
        <v>26</v>
      </c>
      <c r="G95" s="22">
        <v>1323</v>
      </c>
      <c r="H95" s="22">
        <v>0</v>
      </c>
      <c r="I95" s="22">
        <v>1323</v>
      </c>
      <c r="J95" s="23">
        <v>1</v>
      </c>
      <c r="K95" s="412">
        <f t="shared" si="9"/>
        <v>107</v>
      </c>
      <c r="L95" s="417">
        <v>107</v>
      </c>
      <c r="M95" s="417">
        <v>106.5</v>
      </c>
      <c r="N95" s="4">
        <v>107</v>
      </c>
      <c r="O95" s="17" t="s">
        <v>389</v>
      </c>
      <c r="P95" s="17" t="s">
        <v>389</v>
      </c>
      <c r="Q95" s="18" t="s">
        <v>390</v>
      </c>
      <c r="R95" s="19" t="s">
        <v>24</v>
      </c>
      <c r="S95" s="20" t="s">
        <v>391</v>
      </c>
      <c r="T95" s="21" t="s">
        <v>26</v>
      </c>
      <c r="U95" s="10">
        <v>1.0820000000000001</v>
      </c>
      <c r="V95" s="10">
        <v>1.0940000000000001</v>
      </c>
      <c r="W95" s="11">
        <v>0.25</v>
      </c>
      <c r="X95" s="11">
        <v>0.75</v>
      </c>
      <c r="Y95" s="11">
        <f t="shared" si="8"/>
        <v>1.091</v>
      </c>
      <c r="Z95" s="11" t="s">
        <v>33</v>
      </c>
      <c r="AA95" s="11" t="s">
        <v>33</v>
      </c>
      <c r="AC95" s="26" t="s">
        <v>385</v>
      </c>
      <c r="AD95" s="26" t="s">
        <v>385</v>
      </c>
      <c r="AE95" s="27" t="s">
        <v>386</v>
      </c>
      <c r="AF95" s="28" t="s">
        <v>24</v>
      </c>
      <c r="AG95" s="29" t="s">
        <v>387</v>
      </c>
      <c r="AH95" s="26" t="s">
        <v>26</v>
      </c>
      <c r="AI95" s="30">
        <v>0</v>
      </c>
      <c r="AJ95" s="30" t="s">
        <v>34</v>
      </c>
      <c r="AK95" s="31">
        <v>432.5</v>
      </c>
      <c r="AM95" s="26" t="s">
        <v>407</v>
      </c>
      <c r="AN95" s="27" t="s">
        <v>408</v>
      </c>
      <c r="AO95" s="28" t="s">
        <v>24</v>
      </c>
      <c r="AP95" s="29" t="s">
        <v>409</v>
      </c>
      <c r="AQ95" s="26" t="s">
        <v>26</v>
      </c>
      <c r="AR95" s="32">
        <v>2096960.02</v>
      </c>
    </row>
    <row r="96" spans="1:44" ht="14.4">
      <c r="A96" s="17" t="s">
        <v>385</v>
      </c>
      <c r="B96" s="17" t="s">
        <v>385</v>
      </c>
      <c r="C96" s="18" t="s">
        <v>386</v>
      </c>
      <c r="D96" s="19" t="s">
        <v>24</v>
      </c>
      <c r="E96" s="20" t="s">
        <v>387</v>
      </c>
      <c r="F96" s="21" t="s">
        <v>26</v>
      </c>
      <c r="G96" s="22">
        <v>3729</v>
      </c>
      <c r="H96" s="22">
        <v>0</v>
      </c>
      <c r="I96" s="22">
        <v>3729</v>
      </c>
      <c r="J96" s="23">
        <v>1</v>
      </c>
      <c r="K96" s="412">
        <f t="shared" si="9"/>
        <v>263.5</v>
      </c>
      <c r="L96" s="417">
        <v>376</v>
      </c>
      <c r="M96" s="417">
        <v>231.5</v>
      </c>
      <c r="N96" s="4">
        <v>263.5</v>
      </c>
      <c r="O96" s="17" t="s">
        <v>395</v>
      </c>
      <c r="P96" s="17" t="s">
        <v>395</v>
      </c>
      <c r="Q96" s="18" t="s">
        <v>396</v>
      </c>
      <c r="R96" s="19" t="s">
        <v>24</v>
      </c>
      <c r="S96" s="20" t="s">
        <v>397</v>
      </c>
      <c r="T96" s="21" t="s">
        <v>26</v>
      </c>
      <c r="U96" s="10">
        <v>1.0720000000000001</v>
      </c>
      <c r="V96" s="10">
        <v>1.0669999999999999</v>
      </c>
      <c r="W96" s="11">
        <v>0.25</v>
      </c>
      <c r="X96" s="11">
        <v>0.75</v>
      </c>
      <c r="Y96" s="11">
        <f t="shared" si="8"/>
        <v>1.0682499999999999</v>
      </c>
      <c r="Z96" s="11" t="s">
        <v>33</v>
      </c>
      <c r="AA96" s="11" t="s">
        <v>33</v>
      </c>
      <c r="AC96" s="26" t="s">
        <v>389</v>
      </c>
      <c r="AD96" s="26" t="s">
        <v>389</v>
      </c>
      <c r="AE96" s="27" t="s">
        <v>390</v>
      </c>
      <c r="AF96" s="28" t="s">
        <v>24</v>
      </c>
      <c r="AG96" s="29" t="s">
        <v>391</v>
      </c>
      <c r="AH96" s="26" t="s">
        <v>26</v>
      </c>
      <c r="AI96" s="30">
        <v>34</v>
      </c>
      <c r="AJ96" s="30" t="s">
        <v>34</v>
      </c>
      <c r="AK96" s="31">
        <v>3472</v>
      </c>
      <c r="AM96" s="26" t="s">
        <v>410</v>
      </c>
      <c r="AN96" s="27" t="s">
        <v>411</v>
      </c>
      <c r="AO96" s="28" t="s">
        <v>24</v>
      </c>
      <c r="AP96" s="29" t="s">
        <v>412</v>
      </c>
      <c r="AQ96" s="26" t="s">
        <v>26</v>
      </c>
      <c r="AR96" s="32">
        <v>3061359.26</v>
      </c>
    </row>
    <row r="97" spans="1:44" ht="14.4">
      <c r="A97" s="17" t="s">
        <v>389</v>
      </c>
      <c r="B97" s="17" t="s">
        <v>389</v>
      </c>
      <c r="C97" s="18" t="s">
        <v>390</v>
      </c>
      <c r="D97" s="19" t="s">
        <v>24</v>
      </c>
      <c r="E97" s="20" t="s">
        <v>391</v>
      </c>
      <c r="F97" s="21" t="s">
        <v>26</v>
      </c>
      <c r="G97" s="22">
        <v>17950</v>
      </c>
      <c r="H97" s="22">
        <v>15932</v>
      </c>
      <c r="I97" s="22">
        <v>2018</v>
      </c>
      <c r="J97" s="23">
        <v>0.1124233983286908</v>
      </c>
      <c r="K97" s="412">
        <f t="shared" si="9"/>
        <v>0</v>
      </c>
      <c r="L97" s="417">
        <v>0</v>
      </c>
      <c r="M97" s="417">
        <v>1670</v>
      </c>
      <c r="N97" s="4">
        <v>0</v>
      </c>
      <c r="O97" s="24" t="s">
        <v>146</v>
      </c>
      <c r="P97" s="17" t="s">
        <v>36</v>
      </c>
      <c r="Q97" s="18" t="s">
        <v>37</v>
      </c>
      <c r="R97" s="19" t="s">
        <v>147</v>
      </c>
      <c r="S97" s="20" t="s">
        <v>148</v>
      </c>
      <c r="T97" s="21" t="s">
        <v>32</v>
      </c>
      <c r="U97" s="10">
        <v>1.077</v>
      </c>
      <c r="V97" s="10">
        <v>1.1180000000000001</v>
      </c>
      <c r="W97" s="11">
        <v>0.25</v>
      </c>
      <c r="X97" s="11">
        <v>0.75</v>
      </c>
      <c r="Y97" s="11">
        <f t="shared" si="8"/>
        <v>1.10775</v>
      </c>
      <c r="Z97" s="11" t="s">
        <v>33</v>
      </c>
      <c r="AA97" s="11" t="s">
        <v>33</v>
      </c>
      <c r="AC97" s="26" t="s">
        <v>395</v>
      </c>
      <c r="AD97" s="26" t="s">
        <v>395</v>
      </c>
      <c r="AE97" s="27" t="s">
        <v>396</v>
      </c>
      <c r="AF97" s="28" t="s">
        <v>24</v>
      </c>
      <c r="AG97" s="29" t="s">
        <v>397</v>
      </c>
      <c r="AH97" s="26" t="s">
        <v>26</v>
      </c>
      <c r="AI97" s="30">
        <v>11</v>
      </c>
      <c r="AJ97" s="30" t="s">
        <v>34</v>
      </c>
      <c r="AK97" s="31">
        <v>7862.5</v>
      </c>
      <c r="AM97" s="26" t="s">
        <v>413</v>
      </c>
      <c r="AN97" s="27" t="s">
        <v>414</v>
      </c>
      <c r="AO97" s="28" t="s">
        <v>24</v>
      </c>
      <c r="AP97" s="29" t="s">
        <v>415</v>
      </c>
      <c r="AQ97" s="26" t="s">
        <v>26</v>
      </c>
      <c r="AR97" s="32">
        <v>3305243.92</v>
      </c>
    </row>
    <row r="98" spans="1:44" ht="14.4">
      <c r="A98" s="17" t="s">
        <v>395</v>
      </c>
      <c r="B98" s="17" t="s">
        <v>395</v>
      </c>
      <c r="C98" s="18" t="s">
        <v>396</v>
      </c>
      <c r="D98" s="19" t="s">
        <v>24</v>
      </c>
      <c r="E98" s="20" t="s">
        <v>397</v>
      </c>
      <c r="F98" s="21" t="s">
        <v>26</v>
      </c>
      <c r="G98" s="22">
        <v>48173</v>
      </c>
      <c r="H98" s="22">
        <v>44395</v>
      </c>
      <c r="I98" s="22">
        <v>3778</v>
      </c>
      <c r="J98" s="23">
        <v>7.8425674132812984E-2</v>
      </c>
      <c r="K98" s="412">
        <f t="shared" si="9"/>
        <v>2014</v>
      </c>
      <c r="L98" s="417">
        <v>2014</v>
      </c>
      <c r="M98" s="417">
        <v>3963</v>
      </c>
      <c r="N98" s="4">
        <v>2014</v>
      </c>
      <c r="O98" s="17" t="s">
        <v>398</v>
      </c>
      <c r="P98" s="17" t="s">
        <v>398</v>
      </c>
      <c r="Q98" s="18" t="s">
        <v>399</v>
      </c>
      <c r="R98" s="19" t="s">
        <v>24</v>
      </c>
      <c r="S98" s="20" t="s">
        <v>400</v>
      </c>
      <c r="T98" s="21" t="s">
        <v>26</v>
      </c>
      <c r="U98" s="10">
        <v>1.0780000000000001</v>
      </c>
      <c r="V98" s="10">
        <v>1.0620000000000001</v>
      </c>
      <c r="W98" s="11">
        <v>0.25</v>
      </c>
      <c r="X98" s="11">
        <v>0.75</v>
      </c>
      <c r="Y98" s="11">
        <f t="shared" si="8"/>
        <v>1.0660000000000001</v>
      </c>
      <c r="Z98" s="11" t="s">
        <v>33</v>
      </c>
      <c r="AA98" s="11" t="s">
        <v>33</v>
      </c>
      <c r="AC98" s="26" t="s">
        <v>398</v>
      </c>
      <c r="AD98" s="26" t="s">
        <v>398</v>
      </c>
      <c r="AE98" s="27" t="s">
        <v>399</v>
      </c>
      <c r="AF98" s="28" t="s">
        <v>24</v>
      </c>
      <c r="AG98" s="29" t="s">
        <v>400</v>
      </c>
      <c r="AH98" s="26" t="s">
        <v>26</v>
      </c>
      <c r="AI98" s="30">
        <v>0</v>
      </c>
      <c r="AJ98" s="30" t="s">
        <v>34</v>
      </c>
      <c r="AK98" s="31">
        <v>595</v>
      </c>
      <c r="AM98" s="26" t="s">
        <v>416</v>
      </c>
      <c r="AN98" s="27" t="s">
        <v>417</v>
      </c>
      <c r="AO98" s="28" t="s">
        <v>24</v>
      </c>
      <c r="AP98" s="29" t="s">
        <v>418</v>
      </c>
      <c r="AQ98" s="26" t="s">
        <v>26</v>
      </c>
      <c r="AR98" s="32">
        <v>4721365.67</v>
      </c>
    </row>
    <row r="99" spans="1:44" ht="14.4">
      <c r="A99" s="17" t="s">
        <v>398</v>
      </c>
      <c r="B99" s="17" t="s">
        <v>398</v>
      </c>
      <c r="C99" s="18" t="s">
        <v>399</v>
      </c>
      <c r="D99" s="19" t="s">
        <v>24</v>
      </c>
      <c r="E99" s="20" t="s">
        <v>400</v>
      </c>
      <c r="F99" s="21" t="s">
        <v>26</v>
      </c>
      <c r="G99" s="22">
        <v>1968</v>
      </c>
      <c r="H99" s="22">
        <v>0</v>
      </c>
      <c r="I99" s="22">
        <v>1968</v>
      </c>
      <c r="J99" s="23">
        <v>1</v>
      </c>
      <c r="K99" s="412">
        <f t="shared" si="9"/>
        <v>266</v>
      </c>
      <c r="L99" s="417">
        <v>266</v>
      </c>
      <c r="M99" s="417">
        <v>309</v>
      </c>
      <c r="N99" s="4">
        <v>266</v>
      </c>
      <c r="O99" s="17" t="s">
        <v>401</v>
      </c>
      <c r="P99" s="17" t="s">
        <v>401</v>
      </c>
      <c r="Q99" s="18" t="s">
        <v>402</v>
      </c>
      <c r="R99" s="19" t="s">
        <v>24</v>
      </c>
      <c r="S99" s="20" t="s">
        <v>403</v>
      </c>
      <c r="T99" s="21" t="s">
        <v>26</v>
      </c>
      <c r="U99" s="10">
        <v>1.1020000000000001</v>
      </c>
      <c r="V99" s="10">
        <v>1.073</v>
      </c>
      <c r="W99" s="11">
        <v>0.25</v>
      </c>
      <c r="X99" s="11">
        <v>0.75</v>
      </c>
      <c r="Y99" s="11">
        <f t="shared" si="8"/>
        <v>1.0802499999999999</v>
      </c>
      <c r="Z99" s="11" t="s">
        <v>33</v>
      </c>
      <c r="AA99" s="11" t="s">
        <v>33</v>
      </c>
      <c r="AC99" s="26" t="s">
        <v>401</v>
      </c>
      <c r="AD99" s="26" t="s">
        <v>401</v>
      </c>
      <c r="AE99" s="27" t="s">
        <v>402</v>
      </c>
      <c r="AF99" s="28" t="s">
        <v>24</v>
      </c>
      <c r="AG99" s="29" t="s">
        <v>403</v>
      </c>
      <c r="AH99" s="26" t="s">
        <v>26</v>
      </c>
      <c r="AI99" s="30">
        <v>0</v>
      </c>
      <c r="AJ99" s="30" t="s">
        <v>34</v>
      </c>
      <c r="AK99" s="31">
        <v>3455</v>
      </c>
      <c r="AM99" s="26" t="s">
        <v>419</v>
      </c>
      <c r="AN99" s="27" t="s">
        <v>420</v>
      </c>
      <c r="AO99" s="28" t="s">
        <v>24</v>
      </c>
      <c r="AP99" s="29" t="s">
        <v>421</v>
      </c>
      <c r="AQ99" s="26" t="s">
        <v>26</v>
      </c>
      <c r="AR99" s="32">
        <v>21056900.300000001</v>
      </c>
    </row>
    <row r="100" spans="1:44" ht="14.4">
      <c r="A100" s="17" t="s">
        <v>401</v>
      </c>
      <c r="B100" s="17" t="s">
        <v>401</v>
      </c>
      <c r="C100" s="18" t="s">
        <v>402</v>
      </c>
      <c r="D100" s="19" t="s">
        <v>24</v>
      </c>
      <c r="E100" s="20" t="s">
        <v>403</v>
      </c>
      <c r="F100" s="21" t="s">
        <v>26</v>
      </c>
      <c r="G100" s="22">
        <v>14853</v>
      </c>
      <c r="H100" s="22">
        <v>11592</v>
      </c>
      <c r="I100" s="22">
        <v>3261</v>
      </c>
      <c r="J100" s="23">
        <v>0.21955160573621491</v>
      </c>
      <c r="K100" s="412">
        <f t="shared" si="9"/>
        <v>0</v>
      </c>
      <c r="L100" s="417">
        <v>0</v>
      </c>
      <c r="M100" s="417">
        <v>1688</v>
      </c>
      <c r="N100" s="4">
        <v>0</v>
      </c>
      <c r="O100" s="17" t="s">
        <v>404</v>
      </c>
      <c r="P100" s="17" t="s">
        <v>404</v>
      </c>
      <c r="Q100" s="18" t="s">
        <v>405</v>
      </c>
      <c r="R100" s="19" t="s">
        <v>24</v>
      </c>
      <c r="S100" s="20" t="s">
        <v>406</v>
      </c>
      <c r="T100" s="21" t="s">
        <v>26</v>
      </c>
      <c r="U100" s="10">
        <v>1.0660000000000001</v>
      </c>
      <c r="V100" s="10">
        <v>1.105</v>
      </c>
      <c r="W100" s="11">
        <v>0.25</v>
      </c>
      <c r="X100" s="11">
        <v>0.75</v>
      </c>
      <c r="Y100" s="11">
        <f t="shared" si="8"/>
        <v>1.0952500000000001</v>
      </c>
      <c r="Z100" s="11" t="s">
        <v>33</v>
      </c>
      <c r="AA100" s="11" t="s">
        <v>33</v>
      </c>
      <c r="AC100" s="26" t="s">
        <v>404</v>
      </c>
      <c r="AD100" s="26" t="s">
        <v>404</v>
      </c>
      <c r="AE100" s="27" t="s">
        <v>405</v>
      </c>
      <c r="AF100" s="28" t="s">
        <v>24</v>
      </c>
      <c r="AG100" s="29" t="s">
        <v>406</v>
      </c>
      <c r="AH100" s="26" t="s">
        <v>26</v>
      </c>
      <c r="AI100" s="30">
        <v>1</v>
      </c>
      <c r="AJ100" s="30" t="s">
        <v>34</v>
      </c>
      <c r="AK100" s="31">
        <v>268</v>
      </c>
      <c r="AM100" s="26" t="s">
        <v>422</v>
      </c>
      <c r="AN100" s="27" t="s">
        <v>80</v>
      </c>
      <c r="AO100" s="28" t="s">
        <v>24</v>
      </c>
      <c r="AP100" s="29" t="s">
        <v>423</v>
      </c>
      <c r="AQ100" s="26" t="s">
        <v>26</v>
      </c>
      <c r="AR100" s="32">
        <v>1780601.41</v>
      </c>
    </row>
    <row r="101" spans="1:44" ht="14.4">
      <c r="A101" s="17" t="s">
        <v>404</v>
      </c>
      <c r="B101" s="17" t="s">
        <v>404</v>
      </c>
      <c r="C101" s="18" t="s">
        <v>405</v>
      </c>
      <c r="D101" s="19" t="s">
        <v>24</v>
      </c>
      <c r="E101" s="20" t="s">
        <v>406</v>
      </c>
      <c r="F101" s="21" t="s">
        <v>26</v>
      </c>
      <c r="G101" s="22">
        <v>2984</v>
      </c>
      <c r="H101" s="22">
        <v>0</v>
      </c>
      <c r="I101" s="22">
        <v>2984</v>
      </c>
      <c r="J101" s="23">
        <v>1</v>
      </c>
      <c r="K101" s="412">
        <f t="shared" si="9"/>
        <v>147.5</v>
      </c>
      <c r="L101" s="417">
        <v>235</v>
      </c>
      <c r="M101" s="417">
        <v>132.5</v>
      </c>
      <c r="N101" s="4">
        <v>147.5</v>
      </c>
      <c r="O101" s="24" t="s">
        <v>188</v>
      </c>
      <c r="P101" s="17" t="s">
        <v>36</v>
      </c>
      <c r="Q101" s="18" t="s">
        <v>37</v>
      </c>
      <c r="R101" s="19" t="s">
        <v>161</v>
      </c>
      <c r="S101" s="20" t="s">
        <v>162</v>
      </c>
      <c r="T101" s="21" t="s">
        <v>32</v>
      </c>
      <c r="U101" s="10">
        <v>1.0660000000000001</v>
      </c>
      <c r="V101" s="10">
        <v>1.038</v>
      </c>
      <c r="W101" s="11">
        <v>0.25</v>
      </c>
      <c r="X101" s="11">
        <v>0.75</v>
      </c>
      <c r="Y101" s="11">
        <f t="shared" si="8"/>
        <v>1.0449999999999999</v>
      </c>
      <c r="Z101" s="11" t="s">
        <v>33</v>
      </c>
      <c r="AA101" s="11" t="s">
        <v>33</v>
      </c>
      <c r="AC101" s="26" t="s">
        <v>407</v>
      </c>
      <c r="AD101" s="26" t="s">
        <v>407</v>
      </c>
      <c r="AE101" s="27" t="s">
        <v>408</v>
      </c>
      <c r="AF101" s="28" t="s">
        <v>24</v>
      </c>
      <c r="AG101" s="29" t="s">
        <v>409</v>
      </c>
      <c r="AH101" s="26" t="s">
        <v>26</v>
      </c>
      <c r="AI101" s="30">
        <v>0</v>
      </c>
      <c r="AJ101" s="30" t="s">
        <v>34</v>
      </c>
      <c r="AK101" s="31">
        <v>121</v>
      </c>
      <c r="AM101" s="26" t="s">
        <v>424</v>
      </c>
      <c r="AN101" s="27" t="s">
        <v>425</v>
      </c>
      <c r="AO101" s="28" t="s">
        <v>24</v>
      </c>
      <c r="AP101" s="29" t="s">
        <v>426</v>
      </c>
      <c r="AQ101" s="26" t="s">
        <v>26</v>
      </c>
      <c r="AR101" s="32">
        <v>3022379.91</v>
      </c>
    </row>
    <row r="102" spans="1:44" ht="14.4">
      <c r="A102" s="17" t="s">
        <v>407</v>
      </c>
      <c r="B102" s="17" t="s">
        <v>407</v>
      </c>
      <c r="C102" s="18" t="s">
        <v>408</v>
      </c>
      <c r="D102" s="19" t="s">
        <v>24</v>
      </c>
      <c r="E102" s="20" t="s">
        <v>409</v>
      </c>
      <c r="F102" s="21" t="s">
        <v>26</v>
      </c>
      <c r="G102" s="22">
        <v>442</v>
      </c>
      <c r="H102" s="22">
        <v>0</v>
      </c>
      <c r="I102" s="22">
        <v>442</v>
      </c>
      <c r="J102" s="23">
        <v>1</v>
      </c>
      <c r="K102" s="412">
        <f t="shared" si="9"/>
        <v>0</v>
      </c>
      <c r="L102" s="417">
        <v>0</v>
      </c>
      <c r="M102" s="417">
        <v>47.5</v>
      </c>
      <c r="N102" s="4">
        <v>0</v>
      </c>
      <c r="O102" s="35" t="s">
        <v>427</v>
      </c>
      <c r="P102" s="35" t="s">
        <v>28</v>
      </c>
      <c r="Q102" s="36" t="s">
        <v>428</v>
      </c>
      <c r="R102" s="37" t="s">
        <v>37</v>
      </c>
      <c r="S102" s="38" t="s">
        <v>429</v>
      </c>
      <c r="T102" s="35" t="s">
        <v>46</v>
      </c>
      <c r="U102" s="10">
        <v>1.2330000000000001</v>
      </c>
      <c r="V102" s="10">
        <v>1.181</v>
      </c>
      <c r="W102" s="11">
        <v>0.25</v>
      </c>
      <c r="X102" s="11">
        <v>0.75</v>
      </c>
      <c r="Y102" s="11">
        <f t="shared" si="8"/>
        <v>1.194</v>
      </c>
      <c r="Z102" s="11" t="s">
        <v>33</v>
      </c>
      <c r="AA102" s="11" t="s">
        <v>33</v>
      </c>
      <c r="AC102" s="26" t="s">
        <v>410</v>
      </c>
      <c r="AD102" s="26" t="s">
        <v>410</v>
      </c>
      <c r="AE102" s="27" t="s">
        <v>411</v>
      </c>
      <c r="AF102" s="28" t="s">
        <v>24</v>
      </c>
      <c r="AG102" s="29" t="s">
        <v>412</v>
      </c>
      <c r="AH102" s="26" t="s">
        <v>26</v>
      </c>
      <c r="AI102" s="30">
        <v>0</v>
      </c>
      <c r="AJ102" s="30" t="s">
        <v>34</v>
      </c>
      <c r="AK102" s="31">
        <v>276.5</v>
      </c>
      <c r="AM102" s="26" t="s">
        <v>430</v>
      </c>
      <c r="AN102" s="27" t="s">
        <v>431</v>
      </c>
      <c r="AO102" s="28" t="s">
        <v>24</v>
      </c>
      <c r="AP102" s="29" t="s">
        <v>432</v>
      </c>
      <c r="AQ102" s="26" t="s">
        <v>26</v>
      </c>
      <c r="AR102" s="32">
        <v>5787498.4100000001</v>
      </c>
    </row>
    <row r="103" spans="1:44" ht="14.4">
      <c r="A103" s="17" t="s">
        <v>410</v>
      </c>
      <c r="B103" s="17" t="s">
        <v>410</v>
      </c>
      <c r="C103" s="18" t="s">
        <v>411</v>
      </c>
      <c r="D103" s="19" t="s">
        <v>24</v>
      </c>
      <c r="E103" s="20" t="s">
        <v>412</v>
      </c>
      <c r="F103" s="21" t="s">
        <v>26</v>
      </c>
      <c r="G103" s="22">
        <v>1156</v>
      </c>
      <c r="H103" s="22">
        <v>0</v>
      </c>
      <c r="I103" s="22">
        <v>1156</v>
      </c>
      <c r="J103" s="23">
        <v>1</v>
      </c>
      <c r="K103" s="412">
        <f t="shared" si="9"/>
        <v>0</v>
      </c>
      <c r="L103" s="417">
        <v>0</v>
      </c>
      <c r="M103" s="417">
        <v>143</v>
      </c>
      <c r="N103" s="4">
        <v>0</v>
      </c>
      <c r="O103" s="17" t="s">
        <v>407</v>
      </c>
      <c r="P103" s="17" t="s">
        <v>407</v>
      </c>
      <c r="Q103" s="18" t="s">
        <v>408</v>
      </c>
      <c r="R103" s="19" t="s">
        <v>24</v>
      </c>
      <c r="S103" s="20" t="s">
        <v>409</v>
      </c>
      <c r="T103" s="21" t="s">
        <v>26</v>
      </c>
      <c r="U103" s="10">
        <v>1.163</v>
      </c>
      <c r="V103" s="10">
        <v>1.101</v>
      </c>
      <c r="W103" s="11">
        <v>0.25</v>
      </c>
      <c r="X103" s="11">
        <v>0.75</v>
      </c>
      <c r="Y103" s="11">
        <f t="shared" si="8"/>
        <v>1.1165</v>
      </c>
      <c r="Z103" s="11" t="s">
        <v>33</v>
      </c>
      <c r="AA103" s="11" t="s">
        <v>33</v>
      </c>
      <c r="AC103" s="26" t="s">
        <v>413</v>
      </c>
      <c r="AD103" s="26" t="s">
        <v>413</v>
      </c>
      <c r="AE103" s="27" t="s">
        <v>414</v>
      </c>
      <c r="AF103" s="28" t="s">
        <v>24</v>
      </c>
      <c r="AG103" s="29" t="s">
        <v>415</v>
      </c>
      <c r="AH103" s="26" t="s">
        <v>26</v>
      </c>
      <c r="AI103" s="30">
        <v>0</v>
      </c>
      <c r="AJ103" s="30" t="s">
        <v>34</v>
      </c>
      <c r="AK103" s="31">
        <v>241</v>
      </c>
      <c r="AM103" s="26" t="s">
        <v>433</v>
      </c>
      <c r="AN103" s="27" t="s">
        <v>434</v>
      </c>
      <c r="AO103" s="28" t="s">
        <v>24</v>
      </c>
      <c r="AP103" s="29" t="s">
        <v>435</v>
      </c>
      <c r="AQ103" s="26" t="s">
        <v>26</v>
      </c>
      <c r="AR103" s="32">
        <v>4268839.1399999997</v>
      </c>
    </row>
    <row r="104" spans="1:44" ht="14.4">
      <c r="A104" s="17" t="s">
        <v>413</v>
      </c>
      <c r="B104" s="17" t="s">
        <v>413</v>
      </c>
      <c r="C104" s="18" t="s">
        <v>414</v>
      </c>
      <c r="D104" s="19" t="s">
        <v>24</v>
      </c>
      <c r="E104" s="20" t="s">
        <v>415</v>
      </c>
      <c r="F104" s="21" t="s">
        <v>26</v>
      </c>
      <c r="G104" s="22">
        <v>2689</v>
      </c>
      <c r="H104" s="22">
        <v>0</v>
      </c>
      <c r="I104" s="22">
        <v>2689</v>
      </c>
      <c r="J104" s="23">
        <v>1</v>
      </c>
      <c r="K104" s="412">
        <f t="shared" si="9"/>
        <v>0</v>
      </c>
      <c r="L104" s="417">
        <v>0</v>
      </c>
      <c r="M104" s="417">
        <v>104</v>
      </c>
      <c r="N104" s="4">
        <v>0</v>
      </c>
      <c r="O104" s="35" t="s">
        <v>436</v>
      </c>
      <c r="P104" s="35" t="s">
        <v>300</v>
      </c>
      <c r="Q104" s="36" t="s">
        <v>437</v>
      </c>
      <c r="R104" s="37" t="s">
        <v>37</v>
      </c>
      <c r="S104" s="38" t="s">
        <v>438</v>
      </c>
      <c r="T104" s="35" t="s">
        <v>46</v>
      </c>
      <c r="U104" s="10" t="s">
        <v>42</v>
      </c>
      <c r="V104" s="10">
        <v>1.002</v>
      </c>
      <c r="W104" s="11">
        <v>0.25</v>
      </c>
      <c r="X104" s="11">
        <v>0.75</v>
      </c>
      <c r="Y104" s="11">
        <f t="shared" si="8"/>
        <v>1.0015000000000001</v>
      </c>
      <c r="Z104" s="11" t="s">
        <v>33</v>
      </c>
      <c r="AA104" s="11" t="s">
        <v>33</v>
      </c>
      <c r="AC104" s="26" t="s">
        <v>416</v>
      </c>
      <c r="AD104" s="26" t="s">
        <v>416</v>
      </c>
      <c r="AE104" s="27" t="s">
        <v>417</v>
      </c>
      <c r="AF104" s="28" t="s">
        <v>24</v>
      </c>
      <c r="AG104" s="29" t="s">
        <v>418</v>
      </c>
      <c r="AH104" s="26" t="s">
        <v>26</v>
      </c>
      <c r="AI104" s="30">
        <v>0</v>
      </c>
      <c r="AJ104" s="30" t="s">
        <v>34</v>
      </c>
      <c r="AK104" s="31">
        <v>403</v>
      </c>
      <c r="AM104" s="26" t="s">
        <v>439</v>
      </c>
      <c r="AN104" s="27" t="s">
        <v>440</v>
      </c>
      <c r="AO104" s="28" t="s">
        <v>24</v>
      </c>
      <c r="AP104" s="29" t="s">
        <v>441</v>
      </c>
      <c r="AQ104" s="26" t="s">
        <v>26</v>
      </c>
      <c r="AR104" s="32">
        <v>15305675.34</v>
      </c>
    </row>
    <row r="105" spans="1:44" ht="14.4">
      <c r="A105" s="17" t="s">
        <v>416</v>
      </c>
      <c r="B105" s="17" t="s">
        <v>416</v>
      </c>
      <c r="C105" s="18" t="s">
        <v>417</v>
      </c>
      <c r="D105" s="19" t="s">
        <v>24</v>
      </c>
      <c r="E105" s="20" t="s">
        <v>418</v>
      </c>
      <c r="F105" s="21" t="s">
        <v>26</v>
      </c>
      <c r="G105" s="22">
        <v>4023</v>
      </c>
      <c r="H105" s="22">
        <v>0</v>
      </c>
      <c r="I105" s="22">
        <v>4023</v>
      </c>
      <c r="J105" s="23">
        <v>1</v>
      </c>
      <c r="K105" s="412">
        <f t="shared" si="9"/>
        <v>221.5</v>
      </c>
      <c r="L105" s="417">
        <v>244</v>
      </c>
      <c r="M105" s="417">
        <v>218</v>
      </c>
      <c r="N105" s="4">
        <v>221.5</v>
      </c>
      <c r="O105" s="35" t="s">
        <v>442</v>
      </c>
      <c r="P105" s="35" t="s">
        <v>36</v>
      </c>
      <c r="Q105" s="36" t="s">
        <v>443</v>
      </c>
      <c r="R105" s="37" t="s">
        <v>37</v>
      </c>
      <c r="S105" s="38" t="s">
        <v>444</v>
      </c>
      <c r="T105" s="35" t="s">
        <v>46</v>
      </c>
      <c r="U105" s="10">
        <v>1.1299999999999999</v>
      </c>
      <c r="V105" s="10">
        <v>1.1559999999999999</v>
      </c>
      <c r="W105" s="11">
        <v>0.25</v>
      </c>
      <c r="X105" s="11">
        <v>0.75</v>
      </c>
      <c r="Y105" s="11">
        <f t="shared" si="8"/>
        <v>1.1495</v>
      </c>
      <c r="Z105" s="11" t="s">
        <v>33</v>
      </c>
      <c r="AA105" s="11" t="s">
        <v>33</v>
      </c>
      <c r="AC105" s="26" t="s">
        <v>307</v>
      </c>
      <c r="AD105" s="26" t="s">
        <v>307</v>
      </c>
      <c r="AE105" s="27" t="s">
        <v>420</v>
      </c>
      <c r="AF105" s="28" t="s">
        <v>24</v>
      </c>
      <c r="AG105" s="29" t="s">
        <v>421</v>
      </c>
      <c r="AH105" s="26" t="s">
        <v>26</v>
      </c>
      <c r="AI105" s="30">
        <v>14</v>
      </c>
      <c r="AJ105" s="30" t="s">
        <v>34</v>
      </c>
      <c r="AK105" s="31">
        <v>2135</v>
      </c>
      <c r="AM105" s="26" t="s">
        <v>445</v>
      </c>
      <c r="AN105" s="27" t="s">
        <v>446</v>
      </c>
      <c r="AO105" s="28" t="s">
        <v>24</v>
      </c>
      <c r="AP105" s="29" t="s">
        <v>447</v>
      </c>
      <c r="AQ105" s="26" t="s">
        <v>26</v>
      </c>
      <c r="AR105" s="32">
        <v>24201744.579999998</v>
      </c>
    </row>
    <row r="106" spans="1:44" ht="14.4">
      <c r="A106" s="17" t="s">
        <v>307</v>
      </c>
      <c r="B106" s="17" t="s">
        <v>307</v>
      </c>
      <c r="C106" s="18" t="s">
        <v>420</v>
      </c>
      <c r="D106" s="19" t="s">
        <v>24</v>
      </c>
      <c r="E106" s="20" t="s">
        <v>421</v>
      </c>
      <c r="F106" s="21" t="s">
        <v>26</v>
      </c>
      <c r="G106" s="22">
        <v>23044</v>
      </c>
      <c r="H106" s="22">
        <v>3506</v>
      </c>
      <c r="I106" s="22">
        <v>19538</v>
      </c>
      <c r="J106" s="23">
        <v>0.84785627495226523</v>
      </c>
      <c r="K106" s="412">
        <f t="shared" si="9"/>
        <v>0</v>
      </c>
      <c r="L106" s="417">
        <v>0</v>
      </c>
      <c r="M106" s="417">
        <v>1049</v>
      </c>
      <c r="N106" s="4">
        <v>0</v>
      </c>
      <c r="O106" s="17" t="s">
        <v>410</v>
      </c>
      <c r="P106" s="17" t="s">
        <v>410</v>
      </c>
      <c r="Q106" s="18" t="s">
        <v>411</v>
      </c>
      <c r="R106" s="19" t="s">
        <v>24</v>
      </c>
      <c r="S106" s="20" t="s">
        <v>412</v>
      </c>
      <c r="T106" s="21" t="s">
        <v>26</v>
      </c>
      <c r="U106" s="10">
        <v>1.1259999999999999</v>
      </c>
      <c r="V106" s="10">
        <v>1.1299999999999999</v>
      </c>
      <c r="W106" s="11">
        <v>0.25</v>
      </c>
      <c r="X106" s="11">
        <v>0.75</v>
      </c>
      <c r="Y106" s="11">
        <f t="shared" si="8"/>
        <v>1.129</v>
      </c>
      <c r="Z106" s="11" t="s">
        <v>33</v>
      </c>
      <c r="AA106" s="11" t="s">
        <v>33</v>
      </c>
      <c r="AC106" s="26" t="s">
        <v>422</v>
      </c>
      <c r="AD106" s="26" t="s">
        <v>422</v>
      </c>
      <c r="AE106" s="27" t="s">
        <v>80</v>
      </c>
      <c r="AF106" s="28" t="s">
        <v>24</v>
      </c>
      <c r="AG106" s="29" t="s">
        <v>423</v>
      </c>
      <c r="AH106" s="26" t="s">
        <v>26</v>
      </c>
      <c r="AI106" s="30">
        <v>0</v>
      </c>
      <c r="AJ106" s="30" t="s">
        <v>34</v>
      </c>
      <c r="AK106" s="31">
        <v>102</v>
      </c>
      <c r="AM106" s="26" t="s">
        <v>448</v>
      </c>
      <c r="AN106" s="27" t="s">
        <v>255</v>
      </c>
      <c r="AO106" s="28" t="s">
        <v>24</v>
      </c>
      <c r="AP106" s="29" t="s">
        <v>449</v>
      </c>
      <c r="AQ106" s="26" t="s">
        <v>26</v>
      </c>
      <c r="AR106" s="32">
        <v>2441237.1800000002</v>
      </c>
    </row>
    <row r="107" spans="1:44" ht="14.4">
      <c r="A107" s="17" t="s">
        <v>422</v>
      </c>
      <c r="B107" s="17" t="s">
        <v>422</v>
      </c>
      <c r="C107" s="18" t="s">
        <v>80</v>
      </c>
      <c r="D107" s="19" t="s">
        <v>24</v>
      </c>
      <c r="E107" s="20" t="s">
        <v>423</v>
      </c>
      <c r="F107" s="21" t="s">
        <v>26</v>
      </c>
      <c r="G107" s="22">
        <v>253</v>
      </c>
      <c r="H107" s="22">
        <v>0</v>
      </c>
      <c r="I107" s="22">
        <v>253</v>
      </c>
      <c r="J107" s="23">
        <v>1</v>
      </c>
      <c r="K107" s="412">
        <f t="shared" si="9"/>
        <v>0</v>
      </c>
      <c r="L107" s="417">
        <v>0</v>
      </c>
      <c r="M107" s="417">
        <v>45.5</v>
      </c>
      <c r="N107" s="4">
        <v>0</v>
      </c>
      <c r="O107" s="17" t="s">
        <v>413</v>
      </c>
      <c r="P107" s="17" t="s">
        <v>413</v>
      </c>
      <c r="Q107" s="18" t="s">
        <v>414</v>
      </c>
      <c r="R107" s="19" t="s">
        <v>24</v>
      </c>
      <c r="S107" s="20" t="s">
        <v>415</v>
      </c>
      <c r="T107" s="21" t="s">
        <v>26</v>
      </c>
      <c r="U107" s="10">
        <v>1.143</v>
      </c>
      <c r="V107" s="10">
        <v>1.095</v>
      </c>
      <c r="W107" s="11">
        <v>0.25</v>
      </c>
      <c r="X107" s="11">
        <v>0.75</v>
      </c>
      <c r="Y107" s="11">
        <f t="shared" si="8"/>
        <v>1.107</v>
      </c>
      <c r="Z107" s="11" t="s">
        <v>33</v>
      </c>
      <c r="AA107" s="11" t="s">
        <v>33</v>
      </c>
      <c r="AC107" s="26" t="s">
        <v>424</v>
      </c>
      <c r="AD107" s="26" t="s">
        <v>424</v>
      </c>
      <c r="AE107" s="27" t="s">
        <v>425</v>
      </c>
      <c r="AF107" s="28" t="s">
        <v>24</v>
      </c>
      <c r="AG107" s="29" t="s">
        <v>426</v>
      </c>
      <c r="AH107" s="26" t="s">
        <v>26</v>
      </c>
      <c r="AI107" s="30">
        <v>0</v>
      </c>
      <c r="AJ107" s="30" t="s">
        <v>34</v>
      </c>
      <c r="AK107" s="31">
        <v>213.5</v>
      </c>
      <c r="AM107" s="26" t="s">
        <v>450</v>
      </c>
      <c r="AN107" s="27" t="s">
        <v>451</v>
      </c>
      <c r="AO107" s="28" t="s">
        <v>24</v>
      </c>
      <c r="AP107" s="29" t="s">
        <v>452</v>
      </c>
      <c r="AQ107" s="26" t="s">
        <v>26</v>
      </c>
      <c r="AR107" s="32">
        <v>3688794.88</v>
      </c>
    </row>
    <row r="108" spans="1:44" ht="14.4">
      <c r="A108" s="17" t="s">
        <v>424</v>
      </c>
      <c r="B108" s="17" t="s">
        <v>424</v>
      </c>
      <c r="C108" s="18" t="s">
        <v>425</v>
      </c>
      <c r="D108" s="19" t="s">
        <v>24</v>
      </c>
      <c r="E108" s="20" t="s">
        <v>426</v>
      </c>
      <c r="F108" s="21" t="s">
        <v>26</v>
      </c>
      <c r="G108" s="22">
        <v>1866</v>
      </c>
      <c r="H108" s="22">
        <v>0</v>
      </c>
      <c r="I108" s="22">
        <v>1866</v>
      </c>
      <c r="J108" s="23">
        <v>1</v>
      </c>
      <c r="K108" s="412">
        <f t="shared" si="9"/>
        <v>112.5</v>
      </c>
      <c r="L108" s="417">
        <v>164</v>
      </c>
      <c r="M108" s="417">
        <v>101.5</v>
      </c>
      <c r="N108" s="4">
        <v>112.5</v>
      </c>
      <c r="O108" s="35" t="s">
        <v>453</v>
      </c>
      <c r="P108" s="35" t="s">
        <v>263</v>
      </c>
      <c r="Q108" s="36" t="s">
        <v>454</v>
      </c>
      <c r="R108" s="37" t="s">
        <v>37</v>
      </c>
      <c r="S108" s="38" t="s">
        <v>455</v>
      </c>
      <c r="T108" s="35" t="s">
        <v>46</v>
      </c>
      <c r="U108" s="10">
        <v>1.294</v>
      </c>
      <c r="V108" s="10">
        <v>1.1339999999999999</v>
      </c>
      <c r="W108" s="11">
        <v>0.25</v>
      </c>
      <c r="X108" s="11">
        <v>0.75</v>
      </c>
      <c r="Y108" s="11">
        <f t="shared" si="8"/>
        <v>1.1739999999999999</v>
      </c>
      <c r="Z108" s="11" t="s">
        <v>33</v>
      </c>
      <c r="AA108" s="11" t="s">
        <v>33</v>
      </c>
      <c r="AC108" s="26" t="s">
        <v>430</v>
      </c>
      <c r="AD108" s="26" t="s">
        <v>430</v>
      </c>
      <c r="AE108" s="27" t="s">
        <v>431</v>
      </c>
      <c r="AF108" s="28" t="s">
        <v>24</v>
      </c>
      <c r="AG108" s="29" t="s">
        <v>432</v>
      </c>
      <c r="AH108" s="26" t="s">
        <v>26</v>
      </c>
      <c r="AI108" s="30">
        <v>2</v>
      </c>
      <c r="AJ108" s="30" t="s">
        <v>34</v>
      </c>
      <c r="AK108" s="31">
        <v>489</v>
      </c>
      <c r="AM108" s="26" t="s">
        <v>456</v>
      </c>
      <c r="AN108" s="27" t="s">
        <v>457</v>
      </c>
      <c r="AO108" s="28" t="s">
        <v>24</v>
      </c>
      <c r="AP108" s="29" t="s">
        <v>458</v>
      </c>
      <c r="AQ108" s="26" t="s">
        <v>26</v>
      </c>
      <c r="AR108" s="32">
        <v>8557207.7400000002</v>
      </c>
    </row>
    <row r="109" spans="1:44" ht="14.4">
      <c r="A109" s="17" t="s">
        <v>430</v>
      </c>
      <c r="B109" s="17" t="s">
        <v>430</v>
      </c>
      <c r="C109" s="18" t="s">
        <v>431</v>
      </c>
      <c r="D109" s="19" t="s">
        <v>24</v>
      </c>
      <c r="E109" s="20" t="s">
        <v>432</v>
      </c>
      <c r="F109" s="21" t="s">
        <v>26</v>
      </c>
      <c r="G109" s="22">
        <v>4979</v>
      </c>
      <c r="H109" s="22">
        <v>0</v>
      </c>
      <c r="I109" s="22">
        <v>4979</v>
      </c>
      <c r="J109" s="23">
        <v>1</v>
      </c>
      <c r="K109" s="412">
        <f t="shared" si="9"/>
        <v>0</v>
      </c>
      <c r="L109" s="417">
        <v>0</v>
      </c>
      <c r="M109" s="417">
        <v>232</v>
      </c>
      <c r="N109" s="4">
        <v>0</v>
      </c>
      <c r="O109" s="35" t="s">
        <v>459</v>
      </c>
      <c r="P109" s="35" t="s">
        <v>36</v>
      </c>
      <c r="Q109" s="36" t="s">
        <v>460</v>
      </c>
      <c r="R109" s="37" t="s">
        <v>37</v>
      </c>
      <c r="S109" s="38" t="s">
        <v>461</v>
      </c>
      <c r="T109" s="35" t="s">
        <v>46</v>
      </c>
      <c r="U109" s="10" t="s">
        <v>42</v>
      </c>
      <c r="V109" s="10" t="s">
        <v>42</v>
      </c>
      <c r="W109" s="11">
        <v>0.25</v>
      </c>
      <c r="X109" s="11">
        <v>0.75</v>
      </c>
      <c r="Y109" s="11">
        <f t="shared" si="8"/>
        <v>1</v>
      </c>
      <c r="Z109" s="11" t="s">
        <v>33</v>
      </c>
      <c r="AA109" s="11" t="s">
        <v>33</v>
      </c>
      <c r="AC109" s="26" t="s">
        <v>462</v>
      </c>
      <c r="AD109" s="26" t="s">
        <v>462</v>
      </c>
      <c r="AE109" s="27" t="s">
        <v>434</v>
      </c>
      <c r="AF109" s="28" t="s">
        <v>24</v>
      </c>
      <c r="AG109" s="29" t="s">
        <v>435</v>
      </c>
      <c r="AH109" s="26" t="s">
        <v>26</v>
      </c>
      <c r="AI109" s="30">
        <v>0</v>
      </c>
      <c r="AJ109" s="30" t="s">
        <v>34</v>
      </c>
      <c r="AK109" s="31">
        <v>315.5</v>
      </c>
      <c r="AM109" s="26" t="s">
        <v>463</v>
      </c>
      <c r="AN109" s="27" t="s">
        <v>464</v>
      </c>
      <c r="AO109" s="28" t="s">
        <v>24</v>
      </c>
      <c r="AP109" s="29" t="s">
        <v>465</v>
      </c>
      <c r="AQ109" s="26" t="s">
        <v>26</v>
      </c>
      <c r="AR109" s="32">
        <v>2073446.03</v>
      </c>
    </row>
    <row r="110" spans="1:44" ht="14.4">
      <c r="A110" s="17" t="s">
        <v>462</v>
      </c>
      <c r="B110" s="17" t="s">
        <v>462</v>
      </c>
      <c r="C110" s="18" t="s">
        <v>434</v>
      </c>
      <c r="D110" s="19" t="s">
        <v>24</v>
      </c>
      <c r="E110" s="20" t="s">
        <v>435</v>
      </c>
      <c r="F110" s="21" t="s">
        <v>26</v>
      </c>
      <c r="G110" s="22">
        <v>3352</v>
      </c>
      <c r="H110" s="22">
        <v>0</v>
      </c>
      <c r="I110" s="22">
        <v>3352</v>
      </c>
      <c r="J110" s="23">
        <v>1</v>
      </c>
      <c r="K110" s="412">
        <f t="shared" si="9"/>
        <v>184</v>
      </c>
      <c r="L110" s="417">
        <v>278</v>
      </c>
      <c r="M110" s="417">
        <v>163.5</v>
      </c>
      <c r="N110" s="4">
        <v>184</v>
      </c>
      <c r="O110" s="48" t="s">
        <v>466</v>
      </c>
      <c r="P110" s="35" t="s">
        <v>28</v>
      </c>
      <c r="Q110" s="36" t="s">
        <v>467</v>
      </c>
      <c r="R110" s="37" t="s">
        <v>37</v>
      </c>
      <c r="S110" s="38" t="s">
        <v>468</v>
      </c>
      <c r="T110" s="35" t="s">
        <v>46</v>
      </c>
      <c r="U110" s="10">
        <v>1.1519999999999999</v>
      </c>
      <c r="V110" s="10">
        <v>1.1000000000000001</v>
      </c>
      <c r="W110" s="11">
        <v>0.25</v>
      </c>
      <c r="X110" s="11">
        <v>0.75</v>
      </c>
      <c r="Y110" s="11">
        <f t="shared" si="8"/>
        <v>1.113</v>
      </c>
      <c r="Z110" s="11" t="s">
        <v>33</v>
      </c>
      <c r="AA110" s="11" t="s">
        <v>33</v>
      </c>
      <c r="AC110" s="26" t="s">
        <v>439</v>
      </c>
      <c r="AD110" s="26" t="s">
        <v>439</v>
      </c>
      <c r="AE110" s="27" t="s">
        <v>440</v>
      </c>
      <c r="AF110" s="28" t="s">
        <v>24</v>
      </c>
      <c r="AG110" s="29" t="s">
        <v>441</v>
      </c>
      <c r="AH110" s="26" t="s">
        <v>26</v>
      </c>
      <c r="AI110" s="30">
        <v>2</v>
      </c>
      <c r="AJ110" s="30" t="s">
        <v>34</v>
      </c>
      <c r="AK110" s="31">
        <v>1752</v>
      </c>
      <c r="AM110" s="26" t="s">
        <v>150</v>
      </c>
      <c r="AN110" s="27" t="s">
        <v>469</v>
      </c>
      <c r="AO110" s="28" t="s">
        <v>24</v>
      </c>
      <c r="AP110" s="29" t="s">
        <v>470</v>
      </c>
      <c r="AQ110" s="26" t="s">
        <v>26</v>
      </c>
      <c r="AR110" s="32">
        <v>153526311.50999999</v>
      </c>
    </row>
    <row r="111" spans="1:44" ht="14.4">
      <c r="A111" s="17" t="s">
        <v>439</v>
      </c>
      <c r="B111" s="17" t="s">
        <v>439</v>
      </c>
      <c r="C111" s="18" t="s">
        <v>440</v>
      </c>
      <c r="D111" s="19" t="s">
        <v>24</v>
      </c>
      <c r="E111" s="20" t="s">
        <v>441</v>
      </c>
      <c r="F111" s="21" t="s">
        <v>26</v>
      </c>
      <c r="G111" s="22">
        <v>9637</v>
      </c>
      <c r="H111" s="22">
        <v>5409</v>
      </c>
      <c r="I111" s="22">
        <v>4228</v>
      </c>
      <c r="J111" s="23">
        <v>0.43872574452630486</v>
      </c>
      <c r="K111" s="412">
        <f t="shared" si="9"/>
        <v>0</v>
      </c>
      <c r="L111" s="417">
        <v>0</v>
      </c>
      <c r="M111" s="417">
        <v>784.5</v>
      </c>
      <c r="N111" s="4">
        <v>0</v>
      </c>
      <c r="O111" s="35" t="s">
        <v>471</v>
      </c>
      <c r="P111" s="35" t="s">
        <v>36</v>
      </c>
      <c r="Q111" s="36" t="s">
        <v>472</v>
      </c>
      <c r="R111" s="37" t="s">
        <v>37</v>
      </c>
      <c r="S111" s="38" t="s">
        <v>473</v>
      </c>
      <c r="T111" s="35" t="s">
        <v>46</v>
      </c>
      <c r="U111" s="10">
        <v>1.0029999999999999</v>
      </c>
      <c r="V111" s="10" t="s">
        <v>42</v>
      </c>
      <c r="W111" s="11">
        <v>0.25</v>
      </c>
      <c r="X111" s="11">
        <v>0.75</v>
      </c>
      <c r="Y111" s="11">
        <f t="shared" si="8"/>
        <v>1.00075</v>
      </c>
      <c r="Z111" s="11" t="s">
        <v>33</v>
      </c>
      <c r="AA111" s="11" t="s">
        <v>33</v>
      </c>
      <c r="AC111" s="26" t="s">
        <v>445</v>
      </c>
      <c r="AD111" s="26" t="s">
        <v>445</v>
      </c>
      <c r="AE111" s="27" t="s">
        <v>446</v>
      </c>
      <c r="AF111" s="28" t="s">
        <v>24</v>
      </c>
      <c r="AG111" s="29" t="s">
        <v>447</v>
      </c>
      <c r="AH111" s="26" t="s">
        <v>26</v>
      </c>
      <c r="AI111" s="30">
        <v>0</v>
      </c>
      <c r="AJ111" s="30" t="s">
        <v>34</v>
      </c>
      <c r="AK111" s="31">
        <v>2524</v>
      </c>
      <c r="AM111" s="26" t="s">
        <v>474</v>
      </c>
      <c r="AN111" s="27" t="s">
        <v>369</v>
      </c>
      <c r="AO111" s="28" t="s">
        <v>24</v>
      </c>
      <c r="AP111" s="29" t="s">
        <v>475</v>
      </c>
      <c r="AQ111" s="26" t="s">
        <v>26</v>
      </c>
      <c r="AR111" s="32">
        <v>95159061.859999999</v>
      </c>
    </row>
    <row r="112" spans="1:44" ht="14.4">
      <c r="A112" s="17" t="s">
        <v>445</v>
      </c>
      <c r="B112" s="17" t="s">
        <v>445</v>
      </c>
      <c r="C112" s="18" t="s">
        <v>446</v>
      </c>
      <c r="D112" s="19" t="s">
        <v>24</v>
      </c>
      <c r="E112" s="20" t="s">
        <v>447</v>
      </c>
      <c r="F112" s="21" t="s">
        <v>26</v>
      </c>
      <c r="G112" s="22">
        <v>18003</v>
      </c>
      <c r="H112" s="22">
        <v>12610</v>
      </c>
      <c r="I112" s="22">
        <v>5393</v>
      </c>
      <c r="J112" s="23">
        <v>0.29956118424706996</v>
      </c>
      <c r="K112" s="412">
        <f t="shared" si="9"/>
        <v>946</v>
      </c>
      <c r="L112" s="417">
        <v>946</v>
      </c>
      <c r="M112" s="417">
        <v>1256.5</v>
      </c>
      <c r="N112" s="4">
        <v>946</v>
      </c>
      <c r="O112" s="24" t="s">
        <v>154</v>
      </c>
      <c r="P112" s="17" t="s">
        <v>36</v>
      </c>
      <c r="Q112" s="18" t="s">
        <v>37</v>
      </c>
      <c r="R112" s="19" t="s">
        <v>155</v>
      </c>
      <c r="S112" s="20" t="s">
        <v>156</v>
      </c>
      <c r="T112" s="21" t="s">
        <v>32</v>
      </c>
      <c r="U112" s="10">
        <v>1.1579999999999999</v>
      </c>
      <c r="V112" s="10">
        <v>1.135</v>
      </c>
      <c r="W112" s="11">
        <v>0.25</v>
      </c>
      <c r="X112" s="11">
        <v>0.75</v>
      </c>
      <c r="Y112" s="11">
        <f t="shared" si="8"/>
        <v>1.1407500000000002</v>
      </c>
      <c r="Z112" s="11" t="s">
        <v>33</v>
      </c>
      <c r="AA112" s="11" t="s">
        <v>33</v>
      </c>
      <c r="AC112" s="26" t="s">
        <v>448</v>
      </c>
      <c r="AD112" s="26" t="s">
        <v>448</v>
      </c>
      <c r="AE112" s="27" t="s">
        <v>255</v>
      </c>
      <c r="AF112" s="28" t="s">
        <v>24</v>
      </c>
      <c r="AG112" s="29" t="s">
        <v>449</v>
      </c>
      <c r="AH112" s="26" t="s">
        <v>26</v>
      </c>
      <c r="AI112" s="30">
        <v>0</v>
      </c>
      <c r="AJ112" s="30" t="s">
        <v>34</v>
      </c>
      <c r="AK112" s="31">
        <v>157</v>
      </c>
      <c r="AM112" s="39" t="s">
        <v>476</v>
      </c>
      <c r="AN112" s="27" t="s">
        <v>369</v>
      </c>
      <c r="AO112" s="28" t="s">
        <v>457</v>
      </c>
      <c r="AP112" s="29" t="s">
        <v>477</v>
      </c>
      <c r="AQ112" s="26" t="s">
        <v>32</v>
      </c>
      <c r="AR112" s="32">
        <v>1754639.88</v>
      </c>
    </row>
    <row r="113" spans="1:44" ht="14.4">
      <c r="A113" s="17" t="s">
        <v>448</v>
      </c>
      <c r="B113" s="17" t="s">
        <v>448</v>
      </c>
      <c r="C113" s="18" t="s">
        <v>255</v>
      </c>
      <c r="D113" s="19" t="s">
        <v>24</v>
      </c>
      <c r="E113" s="20" t="s">
        <v>449</v>
      </c>
      <c r="F113" s="21" t="s">
        <v>26</v>
      </c>
      <c r="G113" s="22">
        <v>1779</v>
      </c>
      <c r="H113" s="22">
        <v>0</v>
      </c>
      <c r="I113" s="22">
        <v>1779</v>
      </c>
      <c r="J113" s="23">
        <v>1</v>
      </c>
      <c r="K113" s="412">
        <f t="shared" si="9"/>
        <v>76.5</v>
      </c>
      <c r="L113" s="417">
        <v>94</v>
      </c>
      <c r="M113" s="417">
        <v>74.5</v>
      </c>
      <c r="N113" s="4">
        <v>76.5</v>
      </c>
      <c r="O113" s="17" t="s">
        <v>416</v>
      </c>
      <c r="P113" s="17" t="s">
        <v>416</v>
      </c>
      <c r="Q113" s="18" t="s">
        <v>417</v>
      </c>
      <c r="R113" s="19" t="s">
        <v>24</v>
      </c>
      <c r="S113" s="20" t="s">
        <v>418</v>
      </c>
      <c r="T113" s="21" t="s">
        <v>26</v>
      </c>
      <c r="U113" s="10">
        <v>1.071</v>
      </c>
      <c r="V113" s="10">
        <v>1.0409999999999999</v>
      </c>
      <c r="W113" s="11">
        <v>0.25</v>
      </c>
      <c r="X113" s="11">
        <v>0.75</v>
      </c>
      <c r="Y113" s="11">
        <f t="shared" si="8"/>
        <v>1.0485</v>
      </c>
      <c r="Z113" s="11" t="s">
        <v>33</v>
      </c>
      <c r="AA113" s="11" t="s">
        <v>33</v>
      </c>
      <c r="AC113" s="26" t="s">
        <v>450</v>
      </c>
      <c r="AD113" s="26" t="s">
        <v>450</v>
      </c>
      <c r="AE113" s="27" t="s">
        <v>451</v>
      </c>
      <c r="AF113" s="28" t="s">
        <v>24</v>
      </c>
      <c r="AG113" s="29" t="s">
        <v>452</v>
      </c>
      <c r="AH113" s="26" t="s">
        <v>26</v>
      </c>
      <c r="AI113" s="30">
        <v>1</v>
      </c>
      <c r="AJ113" s="30" t="s">
        <v>34</v>
      </c>
      <c r="AK113" s="31">
        <v>268</v>
      </c>
      <c r="AM113" s="26" t="s">
        <v>478</v>
      </c>
      <c r="AN113" s="27" t="s">
        <v>479</v>
      </c>
      <c r="AO113" s="28" t="s">
        <v>24</v>
      </c>
      <c r="AP113" s="29" t="s">
        <v>480</v>
      </c>
      <c r="AQ113" s="26" t="s">
        <v>26</v>
      </c>
      <c r="AR113" s="32">
        <v>1432255.09</v>
      </c>
    </row>
    <row r="114" spans="1:44" ht="14.4">
      <c r="A114" s="17" t="s">
        <v>450</v>
      </c>
      <c r="B114" s="17" t="s">
        <v>450</v>
      </c>
      <c r="C114" s="18" t="s">
        <v>451</v>
      </c>
      <c r="D114" s="19" t="s">
        <v>24</v>
      </c>
      <c r="E114" s="20" t="s">
        <v>452</v>
      </c>
      <c r="F114" s="21" t="s">
        <v>26</v>
      </c>
      <c r="G114" s="22">
        <v>3942</v>
      </c>
      <c r="H114" s="22">
        <v>0</v>
      </c>
      <c r="I114" s="22">
        <v>3942</v>
      </c>
      <c r="J114" s="23">
        <v>1</v>
      </c>
      <c r="K114" s="412">
        <f t="shared" si="9"/>
        <v>143.5</v>
      </c>
      <c r="L114" s="417">
        <v>200</v>
      </c>
      <c r="M114" s="417">
        <v>139.5</v>
      </c>
      <c r="N114" s="4">
        <v>143.5</v>
      </c>
      <c r="O114" s="24" t="s">
        <v>291</v>
      </c>
      <c r="P114" s="17" t="s">
        <v>230</v>
      </c>
      <c r="Q114" s="18" t="s">
        <v>231</v>
      </c>
      <c r="R114" s="19" t="s">
        <v>255</v>
      </c>
      <c r="S114" s="20" t="s">
        <v>292</v>
      </c>
      <c r="T114" s="21" t="s">
        <v>32</v>
      </c>
      <c r="U114" s="10">
        <v>1.1100000000000001</v>
      </c>
      <c r="V114" s="10">
        <v>1.0469999999999999</v>
      </c>
      <c r="W114" s="11">
        <v>0.25</v>
      </c>
      <c r="X114" s="11">
        <v>0.75</v>
      </c>
      <c r="Y114" s="11">
        <f t="shared" si="8"/>
        <v>1.0627500000000001</v>
      </c>
      <c r="Z114" s="11" t="s">
        <v>33</v>
      </c>
      <c r="AA114" s="11" t="s">
        <v>33</v>
      </c>
      <c r="AC114" s="26" t="s">
        <v>456</v>
      </c>
      <c r="AD114" s="26" t="s">
        <v>456</v>
      </c>
      <c r="AE114" s="27" t="s">
        <v>457</v>
      </c>
      <c r="AF114" s="28" t="s">
        <v>24</v>
      </c>
      <c r="AG114" s="29" t="s">
        <v>458</v>
      </c>
      <c r="AH114" s="26" t="s">
        <v>26</v>
      </c>
      <c r="AI114" s="30">
        <v>0</v>
      </c>
      <c r="AJ114" s="30" t="s">
        <v>34</v>
      </c>
      <c r="AK114" s="31">
        <v>826.5</v>
      </c>
      <c r="AM114" s="26" t="s">
        <v>481</v>
      </c>
      <c r="AN114" s="27" t="s">
        <v>482</v>
      </c>
      <c r="AO114" s="28" t="s">
        <v>24</v>
      </c>
      <c r="AP114" s="29" t="s">
        <v>483</v>
      </c>
      <c r="AQ114" s="26" t="s">
        <v>26</v>
      </c>
      <c r="AR114" s="32">
        <v>16718788.35</v>
      </c>
    </row>
    <row r="115" spans="1:44" ht="14.4">
      <c r="A115" s="17" t="s">
        <v>456</v>
      </c>
      <c r="B115" s="17" t="s">
        <v>456</v>
      </c>
      <c r="C115" s="18" t="s">
        <v>457</v>
      </c>
      <c r="D115" s="19" t="s">
        <v>24</v>
      </c>
      <c r="E115" s="20" t="s">
        <v>458</v>
      </c>
      <c r="F115" s="21" t="s">
        <v>26</v>
      </c>
      <c r="G115" s="22">
        <v>7977</v>
      </c>
      <c r="H115" s="22">
        <v>6551</v>
      </c>
      <c r="I115" s="22">
        <v>1426</v>
      </c>
      <c r="J115" s="23">
        <v>0.17876394634574402</v>
      </c>
      <c r="K115" s="412">
        <f t="shared" si="9"/>
        <v>0</v>
      </c>
      <c r="L115" s="417">
        <v>0</v>
      </c>
      <c r="M115" s="417">
        <v>436</v>
      </c>
      <c r="N115" s="4">
        <v>0</v>
      </c>
      <c r="O115" s="17" t="s">
        <v>307</v>
      </c>
      <c r="P115" s="17" t="s">
        <v>307</v>
      </c>
      <c r="Q115" s="18" t="s">
        <v>420</v>
      </c>
      <c r="R115" s="19" t="s">
        <v>24</v>
      </c>
      <c r="S115" s="20" t="s">
        <v>421</v>
      </c>
      <c r="T115" s="21" t="s">
        <v>26</v>
      </c>
      <c r="U115" s="10">
        <v>1.056</v>
      </c>
      <c r="V115" s="10">
        <v>1.048</v>
      </c>
      <c r="W115" s="11">
        <v>0.25</v>
      </c>
      <c r="X115" s="11">
        <v>0.75</v>
      </c>
      <c r="Y115" s="11">
        <f t="shared" si="8"/>
        <v>1.05</v>
      </c>
      <c r="Z115" s="11" t="s">
        <v>33</v>
      </c>
      <c r="AA115" s="11" t="s">
        <v>33</v>
      </c>
      <c r="AC115" s="26" t="s">
        <v>463</v>
      </c>
      <c r="AD115" s="26" t="s">
        <v>463</v>
      </c>
      <c r="AE115" s="27" t="s">
        <v>464</v>
      </c>
      <c r="AF115" s="28" t="s">
        <v>24</v>
      </c>
      <c r="AG115" s="29" t="s">
        <v>465</v>
      </c>
      <c r="AH115" s="26" t="s">
        <v>26</v>
      </c>
      <c r="AI115" s="30">
        <v>0</v>
      </c>
      <c r="AJ115" s="30" t="s">
        <v>34</v>
      </c>
      <c r="AK115" s="31">
        <v>97</v>
      </c>
      <c r="AM115" s="26" t="s">
        <v>484</v>
      </c>
      <c r="AN115" s="27" t="s">
        <v>485</v>
      </c>
      <c r="AO115" s="28" t="s">
        <v>24</v>
      </c>
      <c r="AP115" s="29" t="s">
        <v>486</v>
      </c>
      <c r="AQ115" s="26" t="s">
        <v>26</v>
      </c>
      <c r="AR115" s="32">
        <v>2049904.61</v>
      </c>
    </row>
    <row r="116" spans="1:44" ht="14.4">
      <c r="A116" s="17" t="s">
        <v>463</v>
      </c>
      <c r="B116" s="17" t="s">
        <v>463</v>
      </c>
      <c r="C116" s="18" t="s">
        <v>464</v>
      </c>
      <c r="D116" s="19" t="s">
        <v>24</v>
      </c>
      <c r="E116" s="20" t="s">
        <v>465</v>
      </c>
      <c r="F116" s="21" t="s">
        <v>26</v>
      </c>
      <c r="G116" s="22">
        <v>2071</v>
      </c>
      <c r="H116" s="22">
        <v>0</v>
      </c>
      <c r="I116" s="22">
        <v>2071</v>
      </c>
      <c r="J116" s="23">
        <v>1</v>
      </c>
      <c r="K116" s="412">
        <f t="shared" si="9"/>
        <v>53.5</v>
      </c>
      <c r="L116" s="417">
        <v>80</v>
      </c>
      <c r="M116" s="417">
        <v>50.5</v>
      </c>
      <c r="N116" s="4">
        <v>53.5</v>
      </c>
      <c r="O116" s="24" t="s">
        <v>246</v>
      </c>
      <c r="P116" s="17" t="s">
        <v>157</v>
      </c>
      <c r="Q116" s="18" t="s">
        <v>158</v>
      </c>
      <c r="R116" s="19" t="s">
        <v>37</v>
      </c>
      <c r="S116" s="20" t="s">
        <v>247</v>
      </c>
      <c r="T116" s="21" t="s">
        <v>32</v>
      </c>
      <c r="U116" s="10">
        <v>1.071</v>
      </c>
      <c r="V116" s="10">
        <v>1.0640000000000001</v>
      </c>
      <c r="W116" s="11">
        <v>0.25</v>
      </c>
      <c r="X116" s="11">
        <v>0.75</v>
      </c>
      <c r="Y116" s="11">
        <f t="shared" si="8"/>
        <v>1.06575</v>
      </c>
      <c r="Z116" s="11" t="s">
        <v>33</v>
      </c>
      <c r="AA116" s="11" t="s">
        <v>33</v>
      </c>
      <c r="AC116" s="26" t="s">
        <v>150</v>
      </c>
      <c r="AD116" s="26" t="s">
        <v>150</v>
      </c>
      <c r="AE116" s="27" t="s">
        <v>469</v>
      </c>
      <c r="AF116" s="28" t="s">
        <v>24</v>
      </c>
      <c r="AG116" s="29" t="s">
        <v>470</v>
      </c>
      <c r="AH116" s="26" t="s">
        <v>26</v>
      </c>
      <c r="AI116" s="30">
        <v>32</v>
      </c>
      <c r="AJ116" s="30" t="s">
        <v>34</v>
      </c>
      <c r="AK116" s="31">
        <v>16353.5</v>
      </c>
      <c r="AM116" s="26" t="s">
        <v>28</v>
      </c>
      <c r="AN116" s="27" t="s">
        <v>29</v>
      </c>
      <c r="AO116" s="28" t="s">
        <v>24</v>
      </c>
      <c r="AP116" s="29" t="s">
        <v>487</v>
      </c>
      <c r="AQ116" s="26" t="s">
        <v>26</v>
      </c>
      <c r="AR116" s="32">
        <v>106067202.22</v>
      </c>
    </row>
    <row r="117" spans="1:44" ht="14.4">
      <c r="A117" s="17" t="s">
        <v>150</v>
      </c>
      <c r="B117" s="17" t="s">
        <v>150</v>
      </c>
      <c r="C117" s="18" t="s">
        <v>469</v>
      </c>
      <c r="D117" s="19" t="s">
        <v>24</v>
      </c>
      <c r="E117" s="20" t="s">
        <v>470</v>
      </c>
      <c r="F117" s="21" t="s">
        <v>26</v>
      </c>
      <c r="G117" s="22">
        <v>89033</v>
      </c>
      <c r="H117" s="22">
        <v>87481</v>
      </c>
      <c r="I117" s="22">
        <v>1552</v>
      </c>
      <c r="J117" s="23">
        <v>1.7431738793481068E-2</v>
      </c>
      <c r="K117" s="412">
        <f t="shared" si="9"/>
        <v>0</v>
      </c>
      <c r="L117" s="417">
        <v>0</v>
      </c>
      <c r="M117" s="417">
        <v>8135.5</v>
      </c>
      <c r="N117" s="4">
        <v>0</v>
      </c>
      <c r="O117" s="17" t="s">
        <v>422</v>
      </c>
      <c r="P117" s="17" t="s">
        <v>422</v>
      </c>
      <c r="Q117" s="18" t="s">
        <v>80</v>
      </c>
      <c r="R117" s="19" t="s">
        <v>24</v>
      </c>
      <c r="S117" s="20" t="s">
        <v>423</v>
      </c>
      <c r="T117" s="21" t="s">
        <v>26</v>
      </c>
      <c r="U117" s="10">
        <v>1.0920000000000001</v>
      </c>
      <c r="V117" s="10">
        <v>1.073</v>
      </c>
      <c r="W117" s="11">
        <v>0.25</v>
      </c>
      <c r="X117" s="11">
        <v>0.75</v>
      </c>
      <c r="Y117" s="11">
        <f t="shared" si="8"/>
        <v>1.07775</v>
      </c>
      <c r="Z117" s="11" t="s">
        <v>33</v>
      </c>
      <c r="AA117" s="11" t="s">
        <v>33</v>
      </c>
      <c r="AC117" s="26" t="s">
        <v>474</v>
      </c>
      <c r="AD117" s="26" t="s">
        <v>474</v>
      </c>
      <c r="AE117" s="27" t="s">
        <v>369</v>
      </c>
      <c r="AF117" s="28" t="s">
        <v>24</v>
      </c>
      <c r="AG117" s="29" t="s">
        <v>475</v>
      </c>
      <c r="AH117" s="26" t="s">
        <v>26</v>
      </c>
      <c r="AI117" s="30">
        <v>1</v>
      </c>
      <c r="AJ117" s="30" t="s">
        <v>34</v>
      </c>
      <c r="AK117" s="31">
        <v>9379</v>
      </c>
      <c r="AM117" s="39" t="s">
        <v>488</v>
      </c>
      <c r="AN117" s="27" t="s">
        <v>29</v>
      </c>
      <c r="AO117" s="28" t="s">
        <v>30</v>
      </c>
      <c r="AP117" s="29" t="s">
        <v>31</v>
      </c>
      <c r="AQ117" s="26" t="s">
        <v>32</v>
      </c>
      <c r="AR117" s="32">
        <v>3301753.26</v>
      </c>
    </row>
    <row r="118" spans="1:44" ht="14.4">
      <c r="A118" s="17" t="s">
        <v>474</v>
      </c>
      <c r="B118" s="17" t="s">
        <v>474</v>
      </c>
      <c r="C118" s="18" t="s">
        <v>369</v>
      </c>
      <c r="D118" s="19" t="s">
        <v>24</v>
      </c>
      <c r="E118" s="20" t="s">
        <v>475</v>
      </c>
      <c r="F118" s="21" t="s">
        <v>26</v>
      </c>
      <c r="G118" s="22">
        <v>58520</v>
      </c>
      <c r="H118" s="22">
        <v>49727</v>
      </c>
      <c r="I118" s="22">
        <v>8793</v>
      </c>
      <c r="J118" s="23">
        <v>0.15025632262474367</v>
      </c>
      <c r="K118" s="412">
        <f t="shared" si="9"/>
        <v>2947</v>
      </c>
      <c r="L118" s="417">
        <v>2947</v>
      </c>
      <c r="M118" s="417">
        <v>4805</v>
      </c>
      <c r="N118" s="4">
        <v>2947</v>
      </c>
      <c r="O118" s="24" t="s">
        <v>163</v>
      </c>
      <c r="P118" s="17" t="s">
        <v>36</v>
      </c>
      <c r="Q118" s="18" t="s">
        <v>37</v>
      </c>
      <c r="R118" s="19" t="s">
        <v>164</v>
      </c>
      <c r="S118" s="20" t="s">
        <v>165</v>
      </c>
      <c r="T118" s="21" t="s">
        <v>32</v>
      </c>
      <c r="U118" s="10" t="s">
        <v>42</v>
      </c>
      <c r="V118" s="10" t="s">
        <v>42</v>
      </c>
      <c r="W118" s="11">
        <v>0.25</v>
      </c>
      <c r="X118" s="11">
        <v>0.75</v>
      </c>
      <c r="Y118" s="11">
        <f t="shared" si="8"/>
        <v>1</v>
      </c>
      <c r="Z118" s="11" t="s">
        <v>33</v>
      </c>
      <c r="AA118" s="11" t="s">
        <v>33</v>
      </c>
      <c r="AC118" s="39" t="s">
        <v>489</v>
      </c>
      <c r="AD118" s="26" t="s">
        <v>474</v>
      </c>
      <c r="AE118" s="27" t="s">
        <v>369</v>
      </c>
      <c r="AF118" s="28" t="s">
        <v>457</v>
      </c>
      <c r="AG118" s="29" t="s">
        <v>477</v>
      </c>
      <c r="AH118" s="26" t="s">
        <v>32</v>
      </c>
      <c r="AI118" s="30">
        <v>0</v>
      </c>
      <c r="AJ118" s="30" t="s">
        <v>34</v>
      </c>
      <c r="AK118" s="31">
        <v>196</v>
      </c>
      <c r="AM118" s="26" t="s">
        <v>490</v>
      </c>
      <c r="AN118" s="27" t="s">
        <v>214</v>
      </c>
      <c r="AO118" s="28" t="s">
        <v>24</v>
      </c>
      <c r="AP118" s="29" t="s">
        <v>491</v>
      </c>
      <c r="AQ118" s="26" t="s">
        <v>26</v>
      </c>
      <c r="AR118" s="32">
        <v>6993727.4100000001</v>
      </c>
    </row>
    <row r="119" spans="1:44" ht="14.4">
      <c r="A119" s="24" t="s">
        <v>489</v>
      </c>
      <c r="B119" s="17" t="s">
        <v>474</v>
      </c>
      <c r="C119" s="18" t="s">
        <v>369</v>
      </c>
      <c r="D119" s="19" t="s">
        <v>457</v>
      </c>
      <c r="E119" s="20" t="s">
        <v>477</v>
      </c>
      <c r="F119" s="21" t="s">
        <v>32</v>
      </c>
      <c r="K119" s="412">
        <f t="shared" si="9"/>
        <v>0</v>
      </c>
      <c r="L119" s="417">
        <v>0</v>
      </c>
      <c r="M119" s="417">
        <v>152</v>
      </c>
      <c r="N119" s="4">
        <v>0</v>
      </c>
      <c r="O119" s="17" t="s">
        <v>424</v>
      </c>
      <c r="P119" s="17" t="s">
        <v>424</v>
      </c>
      <c r="Q119" s="18" t="s">
        <v>425</v>
      </c>
      <c r="R119" s="19" t="s">
        <v>24</v>
      </c>
      <c r="S119" s="20" t="s">
        <v>426</v>
      </c>
      <c r="T119" s="21" t="s">
        <v>26</v>
      </c>
      <c r="U119" s="10">
        <v>1.0820000000000001</v>
      </c>
      <c r="V119" s="10">
        <v>1.0429999999999999</v>
      </c>
      <c r="W119" s="11">
        <v>0.25</v>
      </c>
      <c r="X119" s="11">
        <v>0.75</v>
      </c>
      <c r="Y119" s="11">
        <f t="shared" si="8"/>
        <v>1.0527499999999999</v>
      </c>
      <c r="Z119" s="11" t="s">
        <v>33</v>
      </c>
      <c r="AA119" s="11" t="s">
        <v>33</v>
      </c>
      <c r="AC119" s="40" t="s">
        <v>492</v>
      </c>
      <c r="AD119" s="40" t="s">
        <v>474</v>
      </c>
      <c r="AE119" s="41"/>
      <c r="AF119" s="40"/>
      <c r="AG119" s="40" t="s">
        <v>234</v>
      </c>
      <c r="AH119" s="40"/>
      <c r="AI119" s="42">
        <v>1</v>
      </c>
      <c r="AJ119" s="40"/>
      <c r="AK119" s="44">
        <v>9575</v>
      </c>
      <c r="AM119" s="26" t="s">
        <v>493</v>
      </c>
      <c r="AN119" s="27" t="s">
        <v>494</v>
      </c>
      <c r="AO119" s="28" t="s">
        <v>24</v>
      </c>
      <c r="AP119" s="29" t="s">
        <v>495</v>
      </c>
      <c r="AQ119" s="26" t="s">
        <v>26</v>
      </c>
      <c r="AR119" s="32">
        <v>22173362.800000001</v>
      </c>
    </row>
    <row r="120" spans="1:44" ht="14.4">
      <c r="A120" s="45" t="s">
        <v>492</v>
      </c>
      <c r="B120" s="45" t="s">
        <v>474</v>
      </c>
      <c r="C120" s="46"/>
      <c r="D120" s="45"/>
      <c r="E120" s="45" t="s">
        <v>234</v>
      </c>
      <c r="F120" s="45"/>
      <c r="K120" s="42">
        <v>2947</v>
      </c>
      <c r="L120" s="418">
        <v>2947</v>
      </c>
      <c r="M120" s="418"/>
      <c r="N120" s="4">
        <v>2947</v>
      </c>
      <c r="O120" s="24" t="s">
        <v>169</v>
      </c>
      <c r="P120" s="17" t="s">
        <v>36</v>
      </c>
      <c r="Q120" s="18" t="s">
        <v>37</v>
      </c>
      <c r="R120" s="19" t="s">
        <v>131</v>
      </c>
      <c r="S120" s="20" t="s">
        <v>170</v>
      </c>
      <c r="T120" s="21" t="s">
        <v>32</v>
      </c>
      <c r="U120" s="10">
        <v>1.0169999999999999</v>
      </c>
      <c r="V120" s="10" t="s">
        <v>42</v>
      </c>
      <c r="W120" s="11">
        <v>0.25</v>
      </c>
      <c r="X120" s="11">
        <v>0.75</v>
      </c>
      <c r="Y120" s="11">
        <f t="shared" si="8"/>
        <v>1.0042499999999999</v>
      </c>
      <c r="Z120" s="11" t="s">
        <v>33</v>
      </c>
      <c r="AA120" s="11" t="s">
        <v>33</v>
      </c>
      <c r="AC120" s="26" t="s">
        <v>478</v>
      </c>
      <c r="AD120" s="26" t="s">
        <v>478</v>
      </c>
      <c r="AE120" s="27" t="s">
        <v>479</v>
      </c>
      <c r="AF120" s="28" t="s">
        <v>24</v>
      </c>
      <c r="AG120" s="29" t="s">
        <v>480</v>
      </c>
      <c r="AH120" s="26" t="s">
        <v>26</v>
      </c>
      <c r="AI120" s="30">
        <v>1</v>
      </c>
      <c r="AJ120" s="30" t="s">
        <v>34</v>
      </c>
      <c r="AK120" s="31">
        <v>52</v>
      </c>
      <c r="AM120" s="26" t="s">
        <v>253</v>
      </c>
      <c r="AN120" s="27" t="s">
        <v>254</v>
      </c>
      <c r="AO120" s="28" t="s">
        <v>24</v>
      </c>
      <c r="AP120" s="29" t="s">
        <v>496</v>
      </c>
      <c r="AQ120" s="26" t="s">
        <v>26</v>
      </c>
      <c r="AR120" s="32">
        <v>13969656</v>
      </c>
    </row>
    <row r="121" spans="1:44" ht="14.4">
      <c r="A121" s="17" t="s">
        <v>478</v>
      </c>
      <c r="B121" s="17" t="s">
        <v>478</v>
      </c>
      <c r="C121" s="18" t="s">
        <v>479</v>
      </c>
      <c r="D121" s="19" t="s">
        <v>24</v>
      </c>
      <c r="E121" s="20" t="s">
        <v>480</v>
      </c>
      <c r="F121" s="21" t="s">
        <v>26</v>
      </c>
      <c r="G121" s="22">
        <v>393</v>
      </c>
      <c r="H121" s="22">
        <v>0</v>
      </c>
      <c r="I121" s="22">
        <v>393</v>
      </c>
      <c r="J121" s="23">
        <v>1</v>
      </c>
      <c r="K121" s="412">
        <f t="shared" ref="K121:K125" si="10">MIN($L121,MAX($M121,$N121))</f>
        <v>0</v>
      </c>
      <c r="L121" s="417">
        <v>0</v>
      </c>
      <c r="M121" s="417">
        <v>33.5</v>
      </c>
      <c r="N121" s="4">
        <v>0</v>
      </c>
      <c r="O121" s="24" t="s">
        <v>174</v>
      </c>
      <c r="P121" s="17" t="s">
        <v>36</v>
      </c>
      <c r="Q121" s="18" t="s">
        <v>37</v>
      </c>
      <c r="R121" s="19" t="s">
        <v>175</v>
      </c>
      <c r="S121" s="20" t="s">
        <v>176</v>
      </c>
      <c r="T121" s="21" t="s">
        <v>32</v>
      </c>
      <c r="U121" s="10">
        <v>1.032</v>
      </c>
      <c r="V121" s="10">
        <v>1.0469999999999999</v>
      </c>
      <c r="W121" s="11">
        <v>0.25</v>
      </c>
      <c r="X121" s="11">
        <v>0.75</v>
      </c>
      <c r="Y121" s="11">
        <f t="shared" si="8"/>
        <v>1.04325</v>
      </c>
      <c r="Z121" s="11" t="s">
        <v>33</v>
      </c>
      <c r="AA121" s="11" t="s">
        <v>33</v>
      </c>
      <c r="AC121" s="26" t="s">
        <v>481</v>
      </c>
      <c r="AD121" s="26" t="s">
        <v>481</v>
      </c>
      <c r="AE121" s="27" t="s">
        <v>482</v>
      </c>
      <c r="AF121" s="28" t="s">
        <v>24</v>
      </c>
      <c r="AG121" s="29" t="s">
        <v>483</v>
      </c>
      <c r="AH121" s="26" t="s">
        <v>26</v>
      </c>
      <c r="AI121" s="30">
        <v>1</v>
      </c>
      <c r="AJ121" s="30" t="s">
        <v>34</v>
      </c>
      <c r="AK121" s="31">
        <v>1760.5</v>
      </c>
      <c r="AM121" s="39" t="s">
        <v>252</v>
      </c>
      <c r="AN121" s="27" t="s">
        <v>254</v>
      </c>
      <c r="AO121" s="28" t="s">
        <v>255</v>
      </c>
      <c r="AP121" s="29" t="s">
        <v>256</v>
      </c>
      <c r="AQ121" s="26" t="s">
        <v>32</v>
      </c>
      <c r="AR121" s="32">
        <v>1591148.3</v>
      </c>
    </row>
    <row r="122" spans="1:44" ht="14.4">
      <c r="A122" s="17" t="s">
        <v>481</v>
      </c>
      <c r="B122" s="17" t="s">
        <v>481</v>
      </c>
      <c r="C122" s="18" t="s">
        <v>482</v>
      </c>
      <c r="D122" s="19" t="s">
        <v>24</v>
      </c>
      <c r="E122" s="20" t="s">
        <v>483</v>
      </c>
      <c r="F122" s="21" t="s">
        <v>26</v>
      </c>
      <c r="G122" s="22">
        <v>13421</v>
      </c>
      <c r="H122" s="22">
        <v>9596</v>
      </c>
      <c r="I122" s="22">
        <v>3825</v>
      </c>
      <c r="J122" s="23">
        <v>0.28500111765144176</v>
      </c>
      <c r="K122" s="412">
        <f t="shared" si="10"/>
        <v>0</v>
      </c>
      <c r="L122" s="417">
        <v>0</v>
      </c>
      <c r="M122" s="417">
        <v>896</v>
      </c>
      <c r="N122" s="4">
        <v>0</v>
      </c>
      <c r="O122" s="35" t="s">
        <v>497</v>
      </c>
      <c r="P122" s="35" t="s">
        <v>107</v>
      </c>
      <c r="Q122" s="36" t="s">
        <v>498</v>
      </c>
      <c r="R122" s="37" t="s">
        <v>37</v>
      </c>
      <c r="S122" s="38" t="s">
        <v>499</v>
      </c>
      <c r="T122" s="35" t="s">
        <v>46</v>
      </c>
      <c r="U122" s="10">
        <v>1.036</v>
      </c>
      <c r="V122" s="10" t="s">
        <v>42</v>
      </c>
      <c r="W122" s="11">
        <v>0.25</v>
      </c>
      <c r="X122" s="11">
        <v>0.75</v>
      </c>
      <c r="Y122" s="11">
        <f t="shared" si="8"/>
        <v>1.0089999999999999</v>
      </c>
      <c r="Z122" s="11" t="s">
        <v>33</v>
      </c>
      <c r="AA122" s="11" t="s">
        <v>33</v>
      </c>
      <c r="AC122" s="26" t="s">
        <v>484</v>
      </c>
      <c r="AD122" s="26" t="s">
        <v>484</v>
      </c>
      <c r="AE122" s="27" t="s">
        <v>485</v>
      </c>
      <c r="AF122" s="28" t="s">
        <v>24</v>
      </c>
      <c r="AG122" s="29" t="s">
        <v>486</v>
      </c>
      <c r="AH122" s="26" t="s">
        <v>26</v>
      </c>
      <c r="AI122" s="30">
        <v>0</v>
      </c>
      <c r="AJ122" s="30" t="s">
        <v>34</v>
      </c>
      <c r="AK122" s="31">
        <v>105.5</v>
      </c>
      <c r="AM122" s="26" t="s">
        <v>500</v>
      </c>
      <c r="AN122" s="27" t="s">
        <v>501</v>
      </c>
      <c r="AO122" s="28" t="s">
        <v>24</v>
      </c>
      <c r="AP122" s="29" t="s">
        <v>502</v>
      </c>
      <c r="AQ122" s="26" t="s">
        <v>26</v>
      </c>
      <c r="AR122" s="32">
        <v>2306566.27</v>
      </c>
    </row>
    <row r="123" spans="1:44" ht="14.4">
      <c r="A123" s="17" t="s">
        <v>484</v>
      </c>
      <c r="B123" s="17" t="s">
        <v>484</v>
      </c>
      <c r="C123" s="18" t="s">
        <v>485</v>
      </c>
      <c r="D123" s="19" t="s">
        <v>24</v>
      </c>
      <c r="E123" s="20" t="s">
        <v>486</v>
      </c>
      <c r="F123" s="21" t="s">
        <v>26</v>
      </c>
      <c r="G123" s="22">
        <v>476</v>
      </c>
      <c r="H123" s="22">
        <v>0</v>
      </c>
      <c r="I123" s="22">
        <v>476</v>
      </c>
      <c r="J123" s="23">
        <v>1</v>
      </c>
      <c r="K123" s="412">
        <f t="shared" si="10"/>
        <v>0</v>
      </c>
      <c r="L123" s="417">
        <v>0</v>
      </c>
      <c r="M123" s="417">
        <v>61.5</v>
      </c>
      <c r="N123" s="4">
        <v>0</v>
      </c>
      <c r="O123" s="35" t="s">
        <v>503</v>
      </c>
      <c r="P123" s="35" t="s">
        <v>28</v>
      </c>
      <c r="Q123" s="36" t="s">
        <v>504</v>
      </c>
      <c r="R123" s="37" t="s">
        <v>37</v>
      </c>
      <c r="S123" s="38" t="s">
        <v>505</v>
      </c>
      <c r="T123" s="35" t="s">
        <v>46</v>
      </c>
      <c r="U123" s="10">
        <v>1.119</v>
      </c>
      <c r="V123" s="10">
        <v>1.1259999999999999</v>
      </c>
      <c r="W123" s="11">
        <v>0.25</v>
      </c>
      <c r="X123" s="11">
        <v>0.75</v>
      </c>
      <c r="Y123" s="11">
        <f t="shared" si="8"/>
        <v>1.12425</v>
      </c>
      <c r="Z123" s="11" t="s">
        <v>33</v>
      </c>
      <c r="AA123" s="11" t="s">
        <v>33</v>
      </c>
      <c r="AC123" s="26" t="s">
        <v>28</v>
      </c>
      <c r="AD123" s="26" t="s">
        <v>28</v>
      </c>
      <c r="AE123" s="27" t="s">
        <v>29</v>
      </c>
      <c r="AF123" s="28" t="s">
        <v>24</v>
      </c>
      <c r="AG123" s="29" t="s">
        <v>487</v>
      </c>
      <c r="AH123" s="26" t="s">
        <v>26</v>
      </c>
      <c r="AI123" s="30">
        <v>47</v>
      </c>
      <c r="AJ123" s="30" t="s">
        <v>34</v>
      </c>
      <c r="AK123" s="31">
        <v>11697.5</v>
      </c>
      <c r="AM123" s="26" t="s">
        <v>129</v>
      </c>
      <c r="AN123" s="27" t="s">
        <v>130</v>
      </c>
      <c r="AO123" s="28" t="s">
        <v>24</v>
      </c>
      <c r="AP123" s="29" t="s">
        <v>506</v>
      </c>
      <c r="AQ123" s="26" t="s">
        <v>26</v>
      </c>
      <c r="AR123" s="32">
        <v>19920062.350000001</v>
      </c>
    </row>
    <row r="124" spans="1:44" ht="14.4">
      <c r="A124" s="17" t="s">
        <v>28</v>
      </c>
      <c r="B124" s="17" t="s">
        <v>28</v>
      </c>
      <c r="C124" s="18" t="s">
        <v>29</v>
      </c>
      <c r="D124" s="19" t="s">
        <v>24</v>
      </c>
      <c r="E124" s="20" t="s">
        <v>487</v>
      </c>
      <c r="F124" s="21" t="s">
        <v>26</v>
      </c>
      <c r="G124" s="22">
        <v>118032</v>
      </c>
      <c r="H124" s="22">
        <v>93656</v>
      </c>
      <c r="I124" s="22">
        <v>24376</v>
      </c>
      <c r="J124" s="23">
        <v>0.20652026569066015</v>
      </c>
      <c r="K124" s="412">
        <f t="shared" si="10"/>
        <v>3893</v>
      </c>
      <c r="L124" s="417">
        <v>3893</v>
      </c>
      <c r="M124" s="417">
        <v>6354.5</v>
      </c>
      <c r="N124" s="4">
        <v>3893</v>
      </c>
      <c r="O124" s="24" t="s">
        <v>181</v>
      </c>
      <c r="P124" s="17" t="s">
        <v>36</v>
      </c>
      <c r="Q124" s="18" t="s">
        <v>37</v>
      </c>
      <c r="R124" s="19" t="s">
        <v>182</v>
      </c>
      <c r="S124" s="20" t="s">
        <v>183</v>
      </c>
      <c r="T124" s="21" t="s">
        <v>32</v>
      </c>
      <c r="U124" s="10">
        <v>1.0529999999999999</v>
      </c>
      <c r="V124" s="10">
        <v>1.0620000000000001</v>
      </c>
      <c r="W124" s="11">
        <v>0.25</v>
      </c>
      <c r="X124" s="11">
        <v>0.75</v>
      </c>
      <c r="Y124" s="11">
        <f t="shared" si="8"/>
        <v>1.05975</v>
      </c>
      <c r="Z124" s="11" t="s">
        <v>33</v>
      </c>
      <c r="AA124" s="11" t="s">
        <v>33</v>
      </c>
      <c r="AC124" s="39" t="s">
        <v>27</v>
      </c>
      <c r="AD124" s="26" t="s">
        <v>28</v>
      </c>
      <c r="AE124" s="27" t="s">
        <v>29</v>
      </c>
      <c r="AF124" s="28" t="s">
        <v>30</v>
      </c>
      <c r="AG124" s="29" t="s">
        <v>31</v>
      </c>
      <c r="AH124" s="26" t="s">
        <v>32</v>
      </c>
      <c r="AI124" s="30">
        <v>2</v>
      </c>
      <c r="AJ124" s="30" t="s">
        <v>34</v>
      </c>
      <c r="AK124" s="31">
        <v>379</v>
      </c>
      <c r="AM124" s="39" t="s">
        <v>507</v>
      </c>
      <c r="AN124" s="27" t="s">
        <v>130</v>
      </c>
      <c r="AO124" s="28" t="s">
        <v>131</v>
      </c>
      <c r="AP124" s="29" t="s">
        <v>132</v>
      </c>
      <c r="AQ124" s="26" t="s">
        <v>32</v>
      </c>
      <c r="AR124" s="32">
        <v>1859540.59</v>
      </c>
    </row>
    <row r="125" spans="1:44" ht="14.4">
      <c r="A125" s="24" t="s">
        <v>27</v>
      </c>
      <c r="B125" s="17" t="s">
        <v>28</v>
      </c>
      <c r="C125" s="18" t="s">
        <v>29</v>
      </c>
      <c r="D125" s="19" t="s">
        <v>30</v>
      </c>
      <c r="E125" s="20" t="s">
        <v>31</v>
      </c>
      <c r="F125" s="21" t="s">
        <v>32</v>
      </c>
      <c r="K125" s="412">
        <f t="shared" si="10"/>
        <v>0</v>
      </c>
      <c r="L125" s="417">
        <v>0</v>
      </c>
      <c r="M125" s="417">
        <v>0</v>
      </c>
      <c r="N125" s="4">
        <v>0</v>
      </c>
      <c r="O125" s="35" t="s">
        <v>508</v>
      </c>
      <c r="P125" s="35" t="s">
        <v>28</v>
      </c>
      <c r="Q125" s="36" t="s">
        <v>509</v>
      </c>
      <c r="R125" s="37" t="s">
        <v>37</v>
      </c>
      <c r="S125" s="38" t="s">
        <v>510</v>
      </c>
      <c r="T125" s="35" t="s">
        <v>46</v>
      </c>
      <c r="U125" s="10">
        <v>1.087</v>
      </c>
      <c r="V125" s="10">
        <v>1.0489999999999999</v>
      </c>
      <c r="W125" s="11">
        <v>0.25</v>
      </c>
      <c r="X125" s="11">
        <v>0.75</v>
      </c>
      <c r="Y125" s="11">
        <f t="shared" si="8"/>
        <v>1.0585</v>
      </c>
      <c r="Z125" s="11" t="s">
        <v>33</v>
      </c>
      <c r="AA125" s="11" t="s">
        <v>33</v>
      </c>
      <c r="AC125" s="40" t="s">
        <v>511</v>
      </c>
      <c r="AD125" s="40" t="s">
        <v>28</v>
      </c>
      <c r="AE125" s="41"/>
      <c r="AF125" s="40"/>
      <c r="AG125" s="40" t="s">
        <v>234</v>
      </c>
      <c r="AH125" s="40"/>
      <c r="AI125" s="47">
        <v>49</v>
      </c>
      <c r="AJ125" s="40"/>
      <c r="AK125" s="44">
        <v>12076.5</v>
      </c>
      <c r="AM125" s="39" t="s">
        <v>512</v>
      </c>
      <c r="AN125" s="27" t="s">
        <v>130</v>
      </c>
      <c r="AO125" s="28" t="s">
        <v>268</v>
      </c>
      <c r="AP125" s="29" t="s">
        <v>513</v>
      </c>
      <c r="AQ125" s="26" t="s">
        <v>32</v>
      </c>
      <c r="AR125" s="32">
        <v>2006260.21</v>
      </c>
    </row>
    <row r="126" spans="1:44" ht="14.4">
      <c r="A126" s="45" t="s">
        <v>511</v>
      </c>
      <c r="B126" s="45" t="s">
        <v>28</v>
      </c>
      <c r="C126" s="46"/>
      <c r="D126" s="45"/>
      <c r="E126" s="45" t="s">
        <v>234</v>
      </c>
      <c r="F126" s="45"/>
      <c r="K126" s="47">
        <v>3893</v>
      </c>
      <c r="L126" s="419">
        <v>3893</v>
      </c>
      <c r="M126" s="419"/>
      <c r="N126" s="4">
        <v>3893</v>
      </c>
      <c r="O126" s="35" t="s">
        <v>514</v>
      </c>
      <c r="P126" s="35" t="s">
        <v>36</v>
      </c>
      <c r="Q126" s="36" t="s">
        <v>515</v>
      </c>
      <c r="R126" s="37" t="s">
        <v>37</v>
      </c>
      <c r="S126" s="38" t="s">
        <v>516</v>
      </c>
      <c r="T126" s="35" t="s">
        <v>46</v>
      </c>
      <c r="U126" s="10">
        <v>1.06</v>
      </c>
      <c r="V126" s="10">
        <v>1.083</v>
      </c>
      <c r="W126" s="11">
        <v>0.25</v>
      </c>
      <c r="X126" s="11">
        <v>0.75</v>
      </c>
      <c r="Y126" s="11">
        <f t="shared" si="8"/>
        <v>1.0772499999999998</v>
      </c>
      <c r="Z126" s="11" t="s">
        <v>33</v>
      </c>
      <c r="AA126" s="11" t="s">
        <v>33</v>
      </c>
      <c r="AC126" s="26" t="s">
        <v>490</v>
      </c>
      <c r="AD126" s="26" t="s">
        <v>490</v>
      </c>
      <c r="AE126" s="27" t="s">
        <v>214</v>
      </c>
      <c r="AF126" s="28" t="s">
        <v>24</v>
      </c>
      <c r="AG126" s="29" t="s">
        <v>491</v>
      </c>
      <c r="AH126" s="26" t="s">
        <v>26</v>
      </c>
      <c r="AI126" s="30">
        <v>2</v>
      </c>
      <c r="AJ126" s="30" t="s">
        <v>34</v>
      </c>
      <c r="AK126" s="31">
        <v>586.5</v>
      </c>
      <c r="AM126" s="39" t="s">
        <v>517</v>
      </c>
      <c r="AN126" s="27" t="s">
        <v>130</v>
      </c>
      <c r="AO126" s="28" t="s">
        <v>242</v>
      </c>
      <c r="AP126" s="29" t="s">
        <v>518</v>
      </c>
      <c r="AQ126" s="26" t="s">
        <v>32</v>
      </c>
      <c r="AR126" s="32">
        <v>993869.49</v>
      </c>
    </row>
    <row r="127" spans="1:44" ht="14.4">
      <c r="A127" s="17" t="s">
        <v>490</v>
      </c>
      <c r="B127" s="17" t="s">
        <v>490</v>
      </c>
      <c r="C127" s="18" t="s">
        <v>214</v>
      </c>
      <c r="D127" s="19" t="s">
        <v>24</v>
      </c>
      <c r="E127" s="20" t="s">
        <v>491</v>
      </c>
      <c r="F127" s="21" t="s">
        <v>26</v>
      </c>
      <c r="G127" s="22">
        <v>4455</v>
      </c>
      <c r="H127" s="22">
        <v>2621</v>
      </c>
      <c r="I127" s="22">
        <v>1834</v>
      </c>
      <c r="J127" s="23">
        <v>0.41167227833894499</v>
      </c>
      <c r="K127" s="412">
        <f t="shared" ref="K127:K130" si="11">MIN($L127,MAX($M127,$N127))</f>
        <v>299</v>
      </c>
      <c r="L127" s="417">
        <v>299</v>
      </c>
      <c r="M127" s="417">
        <v>299</v>
      </c>
      <c r="N127" s="4">
        <v>299</v>
      </c>
      <c r="O127" s="24" t="s">
        <v>193</v>
      </c>
      <c r="P127" s="17" t="s">
        <v>36</v>
      </c>
      <c r="Q127" s="18" t="s">
        <v>37</v>
      </c>
      <c r="R127" s="19" t="s">
        <v>194</v>
      </c>
      <c r="S127" s="20" t="s">
        <v>195</v>
      </c>
      <c r="T127" s="21" t="s">
        <v>32</v>
      </c>
      <c r="U127" s="10">
        <v>1.071</v>
      </c>
      <c r="V127" s="10">
        <v>1.075</v>
      </c>
      <c r="W127" s="11">
        <v>0.25</v>
      </c>
      <c r="X127" s="11">
        <v>0.75</v>
      </c>
      <c r="Y127" s="11">
        <f t="shared" si="8"/>
        <v>1.0739999999999998</v>
      </c>
      <c r="Z127" s="11" t="s">
        <v>33</v>
      </c>
      <c r="AA127" s="11" t="s">
        <v>33</v>
      </c>
      <c r="AC127" s="26" t="s">
        <v>96</v>
      </c>
      <c r="AD127" s="26" t="s">
        <v>96</v>
      </c>
      <c r="AE127" s="27" t="s">
        <v>494</v>
      </c>
      <c r="AF127" s="28" t="s">
        <v>24</v>
      </c>
      <c r="AG127" s="29" t="s">
        <v>495</v>
      </c>
      <c r="AH127" s="26" t="s">
        <v>26</v>
      </c>
      <c r="AI127" s="30">
        <v>0</v>
      </c>
      <c r="AJ127" s="30" t="s">
        <v>34</v>
      </c>
      <c r="AK127" s="31">
        <v>2278.5</v>
      </c>
      <c r="AM127" s="26" t="s">
        <v>519</v>
      </c>
      <c r="AN127" s="27" t="s">
        <v>520</v>
      </c>
      <c r="AO127" s="28" t="s">
        <v>24</v>
      </c>
      <c r="AP127" s="29" t="s">
        <v>521</v>
      </c>
      <c r="AQ127" s="26" t="s">
        <v>26</v>
      </c>
      <c r="AR127" s="32">
        <v>4343421.7</v>
      </c>
    </row>
    <row r="128" spans="1:44" ht="14.4">
      <c r="A128" s="17" t="s">
        <v>96</v>
      </c>
      <c r="B128" s="17" t="s">
        <v>96</v>
      </c>
      <c r="C128" s="18" t="s">
        <v>494</v>
      </c>
      <c r="D128" s="19" t="s">
        <v>24</v>
      </c>
      <c r="E128" s="20" t="s">
        <v>495</v>
      </c>
      <c r="F128" s="21" t="s">
        <v>26</v>
      </c>
      <c r="G128" s="22">
        <v>21377</v>
      </c>
      <c r="H128" s="22">
        <v>12705</v>
      </c>
      <c r="I128" s="22">
        <v>8672</v>
      </c>
      <c r="J128" s="23">
        <v>0.40566964494550217</v>
      </c>
      <c r="K128" s="412">
        <f t="shared" si="11"/>
        <v>159</v>
      </c>
      <c r="L128" s="417">
        <v>159</v>
      </c>
      <c r="M128" s="417">
        <v>1195.5</v>
      </c>
      <c r="N128" s="4">
        <v>159</v>
      </c>
      <c r="O128" s="49" t="s">
        <v>430</v>
      </c>
      <c r="P128" s="17" t="s">
        <v>430</v>
      </c>
      <c r="Q128" s="18" t="s">
        <v>431</v>
      </c>
      <c r="R128" s="19" t="s">
        <v>24</v>
      </c>
      <c r="S128" s="20" t="s">
        <v>432</v>
      </c>
      <c r="T128" s="21" t="s">
        <v>26</v>
      </c>
      <c r="U128" s="10">
        <v>1.056</v>
      </c>
      <c r="V128" s="10">
        <v>1.0489999999999999</v>
      </c>
      <c r="W128" s="11">
        <v>0.25</v>
      </c>
      <c r="X128" s="11">
        <v>0.75</v>
      </c>
      <c r="Y128" s="11">
        <f t="shared" si="8"/>
        <v>1.0507499999999999</v>
      </c>
      <c r="Z128" s="11" t="s">
        <v>33</v>
      </c>
      <c r="AA128" s="11" t="s">
        <v>33</v>
      </c>
      <c r="AC128" s="26" t="s">
        <v>253</v>
      </c>
      <c r="AD128" s="26" t="s">
        <v>253</v>
      </c>
      <c r="AE128" s="27" t="s">
        <v>254</v>
      </c>
      <c r="AF128" s="28" t="s">
        <v>24</v>
      </c>
      <c r="AG128" s="29" t="s">
        <v>496</v>
      </c>
      <c r="AH128" s="26" t="s">
        <v>26</v>
      </c>
      <c r="AI128" s="30">
        <v>1</v>
      </c>
      <c r="AJ128" s="30" t="s">
        <v>34</v>
      </c>
      <c r="AK128" s="31">
        <v>1341.5</v>
      </c>
      <c r="AM128" s="26" t="s">
        <v>522</v>
      </c>
      <c r="AN128" s="27" t="s">
        <v>523</v>
      </c>
      <c r="AO128" s="28" t="s">
        <v>24</v>
      </c>
      <c r="AP128" s="29" t="s">
        <v>524</v>
      </c>
      <c r="AQ128" s="26" t="s">
        <v>26</v>
      </c>
      <c r="AR128" s="32">
        <v>5615694.5800000001</v>
      </c>
    </row>
    <row r="129" spans="1:44" ht="14.4">
      <c r="A129" s="17" t="s">
        <v>253</v>
      </c>
      <c r="B129" s="17" t="s">
        <v>253</v>
      </c>
      <c r="C129" s="18" t="s">
        <v>254</v>
      </c>
      <c r="D129" s="19" t="s">
        <v>24</v>
      </c>
      <c r="E129" s="20" t="s">
        <v>496</v>
      </c>
      <c r="F129" s="21" t="s">
        <v>26</v>
      </c>
      <c r="G129" s="22">
        <v>12352</v>
      </c>
      <c r="H129" s="22">
        <v>8991</v>
      </c>
      <c r="I129" s="22">
        <v>3361</v>
      </c>
      <c r="J129" s="23">
        <v>0.27210168393782386</v>
      </c>
      <c r="K129" s="412">
        <f t="shared" si="11"/>
        <v>685</v>
      </c>
      <c r="L129" s="417">
        <v>704</v>
      </c>
      <c r="M129" s="417">
        <v>624</v>
      </c>
      <c r="N129" s="4">
        <v>685</v>
      </c>
      <c r="O129" s="24" t="s">
        <v>273</v>
      </c>
      <c r="P129" s="17" t="s">
        <v>189</v>
      </c>
      <c r="Q129" s="18" t="s">
        <v>190</v>
      </c>
      <c r="R129" s="19" t="s">
        <v>268</v>
      </c>
      <c r="S129" s="20" t="s">
        <v>269</v>
      </c>
      <c r="T129" s="21" t="s">
        <v>32</v>
      </c>
      <c r="U129" s="10">
        <v>1.105</v>
      </c>
      <c r="V129" s="10">
        <v>1.129</v>
      </c>
      <c r="W129" s="11">
        <v>0.25</v>
      </c>
      <c r="X129" s="11">
        <v>0.75</v>
      </c>
      <c r="Y129" s="11">
        <f t="shared" si="8"/>
        <v>1.123</v>
      </c>
      <c r="Z129" s="11" t="s">
        <v>33</v>
      </c>
      <c r="AA129" s="11" t="s">
        <v>33</v>
      </c>
      <c r="AC129" s="39" t="s">
        <v>252</v>
      </c>
      <c r="AD129" s="26" t="s">
        <v>253</v>
      </c>
      <c r="AE129" s="27" t="s">
        <v>254</v>
      </c>
      <c r="AF129" s="28" t="s">
        <v>255</v>
      </c>
      <c r="AG129" s="29" t="s">
        <v>256</v>
      </c>
      <c r="AH129" s="26" t="s">
        <v>32</v>
      </c>
      <c r="AI129" s="30">
        <v>0</v>
      </c>
      <c r="AJ129" s="30" t="s">
        <v>34</v>
      </c>
      <c r="AK129" s="31">
        <v>170</v>
      </c>
      <c r="AM129" s="26" t="s">
        <v>525</v>
      </c>
      <c r="AN129" s="27" t="s">
        <v>526</v>
      </c>
      <c r="AO129" s="28" t="s">
        <v>24</v>
      </c>
      <c r="AP129" s="29" t="s">
        <v>527</v>
      </c>
      <c r="AQ129" s="26" t="s">
        <v>26</v>
      </c>
      <c r="AR129" s="32">
        <v>12279448.109999999</v>
      </c>
    </row>
    <row r="130" spans="1:44" ht="14.4">
      <c r="A130" s="24" t="s">
        <v>252</v>
      </c>
      <c r="B130" s="17" t="s">
        <v>253</v>
      </c>
      <c r="C130" s="18" t="s">
        <v>254</v>
      </c>
      <c r="D130" s="19" t="s">
        <v>255</v>
      </c>
      <c r="E130" s="20" t="s">
        <v>256</v>
      </c>
      <c r="F130" s="21" t="s">
        <v>32</v>
      </c>
      <c r="K130" s="412">
        <f t="shared" si="11"/>
        <v>0</v>
      </c>
      <c r="L130" s="417">
        <v>0</v>
      </c>
      <c r="M130" s="417">
        <v>133</v>
      </c>
      <c r="N130" s="4">
        <v>0</v>
      </c>
      <c r="O130" s="17" t="s">
        <v>462</v>
      </c>
      <c r="P130" s="17" t="s">
        <v>462</v>
      </c>
      <c r="Q130" s="18" t="s">
        <v>434</v>
      </c>
      <c r="R130" s="19" t="s">
        <v>24</v>
      </c>
      <c r="S130" s="20" t="s">
        <v>435</v>
      </c>
      <c r="T130" s="21" t="s">
        <v>26</v>
      </c>
      <c r="U130" s="10">
        <v>1.0580000000000001</v>
      </c>
      <c r="V130" s="10">
        <v>1.0389999999999999</v>
      </c>
      <c r="W130" s="11">
        <v>0.25</v>
      </c>
      <c r="X130" s="11">
        <v>0.75</v>
      </c>
      <c r="Y130" s="11">
        <f t="shared" si="8"/>
        <v>1.04375</v>
      </c>
      <c r="Z130" s="11" t="s">
        <v>33</v>
      </c>
      <c r="AA130" s="11" t="s">
        <v>33</v>
      </c>
      <c r="AC130" s="40" t="s">
        <v>528</v>
      </c>
      <c r="AD130" s="40" t="s">
        <v>253</v>
      </c>
      <c r="AE130" s="41"/>
      <c r="AF130" s="40"/>
      <c r="AG130" s="40" t="s">
        <v>234</v>
      </c>
      <c r="AH130" s="40"/>
      <c r="AI130" s="42">
        <v>1</v>
      </c>
      <c r="AJ130" s="40"/>
      <c r="AK130" s="44">
        <v>1511.5</v>
      </c>
      <c r="AM130" s="26" t="s">
        <v>529</v>
      </c>
      <c r="AN130" s="27" t="s">
        <v>530</v>
      </c>
      <c r="AO130" s="28" t="s">
        <v>24</v>
      </c>
      <c r="AP130" s="29" t="s">
        <v>531</v>
      </c>
      <c r="AQ130" s="26" t="s">
        <v>26</v>
      </c>
      <c r="AR130" s="32">
        <v>9258690.4399999995</v>
      </c>
    </row>
    <row r="131" spans="1:44" ht="14.4">
      <c r="A131" s="45" t="s">
        <v>528</v>
      </c>
      <c r="B131" s="45" t="s">
        <v>253</v>
      </c>
      <c r="C131" s="46"/>
      <c r="D131" s="45"/>
      <c r="E131" s="45" t="s">
        <v>234</v>
      </c>
      <c r="F131" s="45"/>
      <c r="K131" s="42">
        <v>685</v>
      </c>
      <c r="L131" s="418">
        <v>704</v>
      </c>
      <c r="M131" s="418"/>
      <c r="N131" s="4">
        <v>685</v>
      </c>
      <c r="O131" s="17" t="s">
        <v>439</v>
      </c>
      <c r="P131" s="17" t="s">
        <v>439</v>
      </c>
      <c r="Q131" s="18" t="s">
        <v>440</v>
      </c>
      <c r="R131" s="19" t="s">
        <v>24</v>
      </c>
      <c r="S131" s="20" t="s">
        <v>441</v>
      </c>
      <c r="T131" s="21" t="s">
        <v>26</v>
      </c>
      <c r="U131" s="10">
        <v>1.0429999999999999</v>
      </c>
      <c r="V131" s="10">
        <v>1.0049999999999999</v>
      </c>
      <c r="W131" s="11">
        <v>0.25</v>
      </c>
      <c r="X131" s="11">
        <v>0.75</v>
      </c>
      <c r="Y131" s="11">
        <f t="shared" ref="Y131:Y185" si="12">W131*U131+X131*V131</f>
        <v>1.0145</v>
      </c>
      <c r="Z131" s="11" t="s">
        <v>33</v>
      </c>
      <c r="AA131" s="11" t="s">
        <v>33</v>
      </c>
      <c r="AC131" s="26" t="s">
        <v>500</v>
      </c>
      <c r="AD131" s="26" t="s">
        <v>500</v>
      </c>
      <c r="AE131" s="27" t="s">
        <v>501</v>
      </c>
      <c r="AF131" s="28" t="s">
        <v>24</v>
      </c>
      <c r="AG131" s="29" t="s">
        <v>502</v>
      </c>
      <c r="AH131" s="26" t="s">
        <v>26</v>
      </c>
      <c r="AI131" s="30">
        <v>0</v>
      </c>
      <c r="AJ131" s="30" t="s">
        <v>34</v>
      </c>
      <c r="AK131" s="31">
        <v>136.5</v>
      </c>
      <c r="AM131" s="26" t="s">
        <v>532</v>
      </c>
      <c r="AN131" s="27" t="s">
        <v>194</v>
      </c>
      <c r="AO131" s="28" t="s">
        <v>24</v>
      </c>
      <c r="AP131" s="29" t="s">
        <v>533</v>
      </c>
      <c r="AQ131" s="26" t="s">
        <v>26</v>
      </c>
      <c r="AR131" s="32">
        <v>9234205.5999999996</v>
      </c>
    </row>
    <row r="132" spans="1:44" ht="14.4">
      <c r="A132" s="17" t="s">
        <v>500</v>
      </c>
      <c r="B132" s="17" t="s">
        <v>500</v>
      </c>
      <c r="C132" s="18" t="s">
        <v>501</v>
      </c>
      <c r="D132" s="19" t="s">
        <v>24</v>
      </c>
      <c r="E132" s="20" t="s">
        <v>502</v>
      </c>
      <c r="F132" s="21" t="s">
        <v>26</v>
      </c>
      <c r="G132" s="22">
        <v>1820</v>
      </c>
      <c r="H132" s="22">
        <v>0</v>
      </c>
      <c r="I132" s="22">
        <v>1820</v>
      </c>
      <c r="J132" s="23">
        <v>1</v>
      </c>
      <c r="K132" s="412">
        <f t="shared" ref="K132:K136" si="13">MIN($L132,MAX($M132,$N132))</f>
        <v>78</v>
      </c>
      <c r="L132" s="417">
        <v>101</v>
      </c>
      <c r="M132" s="417">
        <v>73</v>
      </c>
      <c r="N132" s="4">
        <v>78</v>
      </c>
      <c r="O132" s="17" t="s">
        <v>445</v>
      </c>
      <c r="P132" s="17" t="s">
        <v>445</v>
      </c>
      <c r="Q132" s="18" t="s">
        <v>446</v>
      </c>
      <c r="R132" s="19" t="s">
        <v>24</v>
      </c>
      <c r="S132" s="20" t="s">
        <v>447</v>
      </c>
      <c r="T132" s="21" t="s">
        <v>26</v>
      </c>
      <c r="U132" s="10">
        <v>1.0740000000000001</v>
      </c>
      <c r="V132" s="10">
        <v>1.077</v>
      </c>
      <c r="W132" s="11">
        <v>0.25</v>
      </c>
      <c r="X132" s="11">
        <v>0.75</v>
      </c>
      <c r="Y132" s="11">
        <f t="shared" si="12"/>
        <v>1.0762499999999999</v>
      </c>
      <c r="Z132" s="11" t="s">
        <v>33</v>
      </c>
      <c r="AA132" s="11" t="s">
        <v>33</v>
      </c>
      <c r="AC132" s="26" t="s">
        <v>129</v>
      </c>
      <c r="AD132" s="26" t="s">
        <v>129</v>
      </c>
      <c r="AE132" s="27" t="s">
        <v>130</v>
      </c>
      <c r="AF132" s="28" t="s">
        <v>24</v>
      </c>
      <c r="AG132" s="29" t="s">
        <v>506</v>
      </c>
      <c r="AH132" s="26" t="s">
        <v>26</v>
      </c>
      <c r="AI132" s="30">
        <v>14</v>
      </c>
      <c r="AJ132" s="30" t="s">
        <v>34</v>
      </c>
      <c r="AK132" s="31">
        <v>2028</v>
      </c>
      <c r="AM132" s="26" t="s">
        <v>534</v>
      </c>
      <c r="AN132" s="27" t="s">
        <v>535</v>
      </c>
      <c r="AO132" s="28" t="s">
        <v>24</v>
      </c>
      <c r="AP132" s="29" t="s">
        <v>536</v>
      </c>
      <c r="AQ132" s="26" t="s">
        <v>26</v>
      </c>
      <c r="AR132" s="32">
        <v>1568682.46</v>
      </c>
    </row>
    <row r="133" spans="1:44" ht="14.4">
      <c r="A133" s="17" t="s">
        <v>129</v>
      </c>
      <c r="B133" s="17" t="s">
        <v>129</v>
      </c>
      <c r="C133" s="18" t="s">
        <v>130</v>
      </c>
      <c r="D133" s="19" t="s">
        <v>24</v>
      </c>
      <c r="E133" s="20" t="s">
        <v>506</v>
      </c>
      <c r="F133" s="21" t="s">
        <v>26</v>
      </c>
      <c r="G133" s="22">
        <v>25068</v>
      </c>
      <c r="H133" s="22">
        <v>13686</v>
      </c>
      <c r="I133" s="22">
        <v>11382</v>
      </c>
      <c r="J133" s="23">
        <v>0.45404499760651029</v>
      </c>
      <c r="K133" s="412">
        <f t="shared" si="13"/>
        <v>0</v>
      </c>
      <c r="L133" s="417">
        <v>0</v>
      </c>
      <c r="M133" s="417">
        <v>872</v>
      </c>
      <c r="N133" s="4">
        <v>0</v>
      </c>
      <c r="O133" s="17" t="s">
        <v>448</v>
      </c>
      <c r="P133" s="17" t="s">
        <v>448</v>
      </c>
      <c r="Q133" s="18" t="s">
        <v>255</v>
      </c>
      <c r="R133" s="19" t="s">
        <v>24</v>
      </c>
      <c r="S133" s="20" t="s">
        <v>449</v>
      </c>
      <c r="T133" s="21" t="s">
        <v>26</v>
      </c>
      <c r="U133" s="10">
        <v>1.0740000000000001</v>
      </c>
      <c r="V133" s="10">
        <v>1.087</v>
      </c>
      <c r="W133" s="11">
        <v>0.25</v>
      </c>
      <c r="X133" s="11">
        <v>0.75</v>
      </c>
      <c r="Y133" s="11">
        <f t="shared" si="12"/>
        <v>1.08375</v>
      </c>
      <c r="Z133" s="11" t="s">
        <v>33</v>
      </c>
      <c r="AA133" s="11" t="s">
        <v>33</v>
      </c>
      <c r="AC133" s="39" t="s">
        <v>128</v>
      </c>
      <c r="AD133" s="26" t="s">
        <v>129</v>
      </c>
      <c r="AE133" s="27" t="s">
        <v>130</v>
      </c>
      <c r="AF133" s="28" t="s">
        <v>131</v>
      </c>
      <c r="AG133" s="29" t="s">
        <v>132</v>
      </c>
      <c r="AH133" s="26" t="s">
        <v>32</v>
      </c>
      <c r="AI133" s="30">
        <v>0</v>
      </c>
      <c r="AJ133" s="30" t="s">
        <v>34</v>
      </c>
      <c r="AK133" s="31">
        <v>190</v>
      </c>
      <c r="AM133" s="26" t="s">
        <v>537</v>
      </c>
      <c r="AN133" s="27" t="s">
        <v>538</v>
      </c>
      <c r="AO133" s="28" t="s">
        <v>24</v>
      </c>
      <c r="AP133" s="29" t="s">
        <v>539</v>
      </c>
      <c r="AQ133" s="26" t="s">
        <v>26</v>
      </c>
      <c r="AR133" s="32">
        <v>1672144.04</v>
      </c>
    </row>
    <row r="134" spans="1:44" ht="14.4">
      <c r="A134" s="24" t="s">
        <v>128</v>
      </c>
      <c r="B134" s="17" t="s">
        <v>129</v>
      </c>
      <c r="C134" s="18" t="s">
        <v>130</v>
      </c>
      <c r="D134" s="19" t="s">
        <v>131</v>
      </c>
      <c r="E134" s="20" t="s">
        <v>132</v>
      </c>
      <c r="F134" s="21" t="s">
        <v>32</v>
      </c>
      <c r="K134" s="412">
        <f t="shared" si="13"/>
        <v>0</v>
      </c>
      <c r="L134" s="417">
        <v>0</v>
      </c>
      <c r="M134" s="417">
        <v>153</v>
      </c>
      <c r="N134" s="4">
        <v>0</v>
      </c>
      <c r="O134" s="17" t="s">
        <v>450</v>
      </c>
      <c r="P134" s="17" t="s">
        <v>450</v>
      </c>
      <c r="Q134" s="18" t="s">
        <v>451</v>
      </c>
      <c r="R134" s="19" t="s">
        <v>24</v>
      </c>
      <c r="S134" s="20" t="s">
        <v>452</v>
      </c>
      <c r="T134" s="21" t="s">
        <v>26</v>
      </c>
      <c r="U134" s="10">
        <v>1.0229999999999999</v>
      </c>
      <c r="V134" s="10">
        <v>1.008</v>
      </c>
      <c r="W134" s="11">
        <v>0.25</v>
      </c>
      <c r="X134" s="11">
        <v>0.75</v>
      </c>
      <c r="Y134" s="11">
        <f t="shared" si="12"/>
        <v>1.0117499999999999</v>
      </c>
      <c r="Z134" s="11" t="s">
        <v>33</v>
      </c>
      <c r="AA134" s="11" t="s">
        <v>33</v>
      </c>
      <c r="AC134" s="39" t="s">
        <v>512</v>
      </c>
      <c r="AD134" s="26" t="s">
        <v>129</v>
      </c>
      <c r="AE134" s="27" t="s">
        <v>130</v>
      </c>
      <c r="AF134" s="28" t="s">
        <v>268</v>
      </c>
      <c r="AG134" s="29" t="s">
        <v>513</v>
      </c>
      <c r="AH134" s="26" t="s">
        <v>32</v>
      </c>
      <c r="AI134" s="30">
        <v>1</v>
      </c>
      <c r="AJ134" s="30" t="s">
        <v>34</v>
      </c>
      <c r="AK134" s="31">
        <v>216</v>
      </c>
      <c r="AM134" s="26" t="s">
        <v>540</v>
      </c>
      <c r="AN134" s="27" t="s">
        <v>541</v>
      </c>
      <c r="AO134" s="28" t="s">
        <v>24</v>
      </c>
      <c r="AP134" s="29" t="s">
        <v>542</v>
      </c>
      <c r="AQ134" s="26" t="s">
        <v>26</v>
      </c>
      <c r="AR134" s="32">
        <v>13535961.970000001</v>
      </c>
    </row>
    <row r="135" spans="1:44" ht="14.4">
      <c r="A135" s="24" t="s">
        <v>512</v>
      </c>
      <c r="B135" s="17" t="s">
        <v>129</v>
      </c>
      <c r="C135" s="18" t="s">
        <v>130</v>
      </c>
      <c r="D135" s="19" t="s">
        <v>268</v>
      </c>
      <c r="E135" s="20" t="s">
        <v>513</v>
      </c>
      <c r="F135" s="21" t="s">
        <v>32</v>
      </c>
      <c r="K135" s="412">
        <f t="shared" si="13"/>
        <v>0</v>
      </c>
      <c r="L135" s="417">
        <v>0</v>
      </c>
      <c r="M135" s="417">
        <v>166.5</v>
      </c>
      <c r="N135" s="4">
        <v>0</v>
      </c>
      <c r="O135" s="17" t="s">
        <v>543</v>
      </c>
      <c r="P135" s="17" t="s">
        <v>107</v>
      </c>
      <c r="Q135" s="50" t="s">
        <v>544</v>
      </c>
      <c r="R135" s="51" t="s">
        <v>37</v>
      </c>
      <c r="S135" s="52" t="s">
        <v>545</v>
      </c>
      <c r="T135" s="17" t="s">
        <v>46</v>
      </c>
      <c r="U135" s="10">
        <v>1.1859999999999999</v>
      </c>
      <c r="V135" s="10">
        <v>1.19</v>
      </c>
      <c r="W135" s="11">
        <v>0.25</v>
      </c>
      <c r="X135" s="11">
        <v>0.75</v>
      </c>
      <c r="Y135" s="11">
        <f t="shared" si="12"/>
        <v>1.1890000000000001</v>
      </c>
      <c r="Z135" s="11" t="s">
        <v>33</v>
      </c>
      <c r="AA135" s="11" t="s">
        <v>33</v>
      </c>
      <c r="AC135" s="39" t="s">
        <v>546</v>
      </c>
      <c r="AD135" s="26" t="s">
        <v>129</v>
      </c>
      <c r="AE135" s="27" t="s">
        <v>130</v>
      </c>
      <c r="AF135" s="28" t="s">
        <v>242</v>
      </c>
      <c r="AG135" s="29" t="s">
        <v>518</v>
      </c>
      <c r="AH135" s="26" t="s">
        <v>32</v>
      </c>
      <c r="AI135" s="30">
        <v>0</v>
      </c>
      <c r="AJ135" s="30" t="s">
        <v>34</v>
      </c>
      <c r="AK135" s="31">
        <v>76</v>
      </c>
      <c r="AM135" s="39" t="s">
        <v>547</v>
      </c>
      <c r="AN135" s="27" t="s">
        <v>541</v>
      </c>
      <c r="AO135" s="28" t="s">
        <v>369</v>
      </c>
      <c r="AP135" s="29" t="s">
        <v>548</v>
      </c>
      <c r="AQ135" s="26" t="s">
        <v>32</v>
      </c>
      <c r="AR135" s="32">
        <v>956188.08</v>
      </c>
    </row>
    <row r="136" spans="1:44" ht="14.4">
      <c r="A136" s="24" t="s">
        <v>546</v>
      </c>
      <c r="B136" s="17" t="s">
        <v>129</v>
      </c>
      <c r="C136" s="18" t="s">
        <v>130</v>
      </c>
      <c r="D136" s="19" t="s">
        <v>242</v>
      </c>
      <c r="E136" s="20" t="s">
        <v>518</v>
      </c>
      <c r="F136" s="21" t="s">
        <v>32</v>
      </c>
      <c r="K136" s="412">
        <f t="shared" si="13"/>
        <v>0</v>
      </c>
      <c r="L136" s="417">
        <v>0</v>
      </c>
      <c r="M136" s="417">
        <v>0</v>
      </c>
      <c r="N136" s="4">
        <v>0</v>
      </c>
      <c r="O136" s="17" t="s">
        <v>456</v>
      </c>
      <c r="P136" s="17" t="s">
        <v>456</v>
      </c>
      <c r="Q136" s="18" t="s">
        <v>457</v>
      </c>
      <c r="R136" s="19" t="s">
        <v>24</v>
      </c>
      <c r="S136" s="20" t="s">
        <v>458</v>
      </c>
      <c r="T136" s="21" t="s">
        <v>26</v>
      </c>
      <c r="U136" s="10">
        <v>1.083</v>
      </c>
      <c r="V136" s="10">
        <v>1.087</v>
      </c>
      <c r="W136" s="11">
        <v>0.25</v>
      </c>
      <c r="X136" s="11">
        <v>0.75</v>
      </c>
      <c r="Y136" s="11">
        <f t="shared" si="12"/>
        <v>1.0860000000000001</v>
      </c>
      <c r="Z136" s="11" t="s">
        <v>33</v>
      </c>
      <c r="AA136" s="11" t="s">
        <v>33</v>
      </c>
      <c r="AC136" s="40" t="s">
        <v>549</v>
      </c>
      <c r="AD136" s="40" t="s">
        <v>129</v>
      </c>
      <c r="AE136" s="41"/>
      <c r="AF136" s="40"/>
      <c r="AG136" s="40" t="s">
        <v>234</v>
      </c>
      <c r="AH136" s="40"/>
      <c r="AI136" s="47">
        <v>15</v>
      </c>
      <c r="AJ136" s="40"/>
      <c r="AK136" s="44">
        <v>2510</v>
      </c>
      <c r="AM136" s="26" t="s">
        <v>550</v>
      </c>
      <c r="AN136" s="27" t="s">
        <v>551</v>
      </c>
      <c r="AO136" s="28" t="s">
        <v>24</v>
      </c>
      <c r="AP136" s="29" t="s">
        <v>552</v>
      </c>
      <c r="AQ136" s="26" t="s">
        <v>26</v>
      </c>
      <c r="AR136" s="32">
        <v>7916210.2000000002</v>
      </c>
    </row>
    <row r="137" spans="1:44" ht="14.4">
      <c r="A137" s="45" t="s">
        <v>549</v>
      </c>
      <c r="B137" s="45" t="s">
        <v>129</v>
      </c>
      <c r="C137" s="46"/>
      <c r="D137" s="45"/>
      <c r="E137" s="45" t="s">
        <v>234</v>
      </c>
      <c r="F137" s="45"/>
      <c r="K137" s="47">
        <v>0</v>
      </c>
      <c r="L137" s="419">
        <v>0</v>
      </c>
      <c r="M137" s="419"/>
      <c r="N137" s="4">
        <v>0</v>
      </c>
      <c r="O137" s="17" t="s">
        <v>553</v>
      </c>
      <c r="P137" s="17" t="s">
        <v>450</v>
      </c>
      <c r="Q137" s="50" t="s">
        <v>554</v>
      </c>
      <c r="R137" s="51" t="s">
        <v>37</v>
      </c>
      <c r="S137" s="52" t="s">
        <v>555</v>
      </c>
      <c r="T137" s="17" t="s">
        <v>46</v>
      </c>
      <c r="U137" s="10">
        <v>1.0980000000000001</v>
      </c>
      <c r="V137" s="10">
        <v>1.151</v>
      </c>
      <c r="W137" s="11">
        <v>0.25</v>
      </c>
      <c r="X137" s="11">
        <v>0.75</v>
      </c>
      <c r="Y137" s="11">
        <f t="shared" si="12"/>
        <v>1.13775</v>
      </c>
      <c r="Z137" s="11" t="s">
        <v>33</v>
      </c>
      <c r="AA137" s="11" t="s">
        <v>33</v>
      </c>
      <c r="AC137" s="26" t="s">
        <v>519</v>
      </c>
      <c r="AD137" s="26" t="s">
        <v>519</v>
      </c>
      <c r="AE137" s="27" t="s">
        <v>520</v>
      </c>
      <c r="AF137" s="28" t="s">
        <v>24</v>
      </c>
      <c r="AG137" s="29" t="s">
        <v>521</v>
      </c>
      <c r="AH137" s="26" t="s">
        <v>26</v>
      </c>
      <c r="AI137" s="30">
        <v>0</v>
      </c>
      <c r="AJ137" s="30" t="s">
        <v>34</v>
      </c>
      <c r="AK137" s="31">
        <v>325.5</v>
      </c>
      <c r="AM137" s="53" t="s">
        <v>556</v>
      </c>
      <c r="AN137" s="54" t="s">
        <v>557</v>
      </c>
      <c r="AO137" s="55" t="s">
        <v>37</v>
      </c>
      <c r="AP137" s="56" t="s">
        <v>558</v>
      </c>
      <c r="AQ137" s="57" t="s">
        <v>46</v>
      </c>
      <c r="AR137" s="58">
        <v>3184405.66</v>
      </c>
    </row>
    <row r="138" spans="1:44" ht="14.4">
      <c r="A138" s="17" t="s">
        <v>519</v>
      </c>
      <c r="B138" s="17" t="s">
        <v>519</v>
      </c>
      <c r="C138" s="18" t="s">
        <v>520</v>
      </c>
      <c r="D138" s="19" t="s">
        <v>24</v>
      </c>
      <c r="E138" s="20" t="s">
        <v>521</v>
      </c>
      <c r="F138" s="21" t="s">
        <v>26</v>
      </c>
      <c r="G138" s="22">
        <v>1465</v>
      </c>
      <c r="H138" s="22">
        <v>0</v>
      </c>
      <c r="I138" s="22">
        <v>1465</v>
      </c>
      <c r="J138" s="23">
        <v>1</v>
      </c>
      <c r="K138" s="412">
        <f t="shared" ref="K138:K146" si="14">MIN($L138,MAX($M138,$N138))</f>
        <v>0</v>
      </c>
      <c r="L138" s="417">
        <v>0</v>
      </c>
      <c r="M138" s="417">
        <v>150.5</v>
      </c>
      <c r="N138" s="4">
        <v>0</v>
      </c>
      <c r="O138" s="17" t="s">
        <v>463</v>
      </c>
      <c r="P138" s="17" t="s">
        <v>463</v>
      </c>
      <c r="Q138" s="18" t="s">
        <v>464</v>
      </c>
      <c r="R138" s="19" t="s">
        <v>24</v>
      </c>
      <c r="S138" s="20" t="s">
        <v>465</v>
      </c>
      <c r="T138" s="21" t="s">
        <v>26</v>
      </c>
      <c r="U138" s="10">
        <v>1.0900000000000001</v>
      </c>
      <c r="V138" s="10">
        <v>1.0589999999999999</v>
      </c>
      <c r="W138" s="11">
        <v>0.25</v>
      </c>
      <c r="X138" s="11">
        <v>0.75</v>
      </c>
      <c r="Y138" s="11">
        <f t="shared" si="12"/>
        <v>1.0667499999999999</v>
      </c>
      <c r="Z138" s="11" t="s">
        <v>33</v>
      </c>
      <c r="AA138" s="11" t="s">
        <v>33</v>
      </c>
      <c r="AC138" s="26" t="s">
        <v>522</v>
      </c>
      <c r="AD138" s="26" t="s">
        <v>522</v>
      </c>
      <c r="AE138" s="27" t="s">
        <v>523</v>
      </c>
      <c r="AF138" s="28" t="s">
        <v>24</v>
      </c>
      <c r="AG138" s="29" t="s">
        <v>524</v>
      </c>
      <c r="AH138" s="26" t="s">
        <v>26</v>
      </c>
      <c r="AI138" s="30">
        <v>0</v>
      </c>
      <c r="AJ138" s="30" t="s">
        <v>34</v>
      </c>
      <c r="AK138" s="31">
        <v>526</v>
      </c>
      <c r="AM138" s="57" t="s">
        <v>43</v>
      </c>
      <c r="AN138" s="54" t="s">
        <v>44</v>
      </c>
      <c r="AO138" s="55" t="s">
        <v>37</v>
      </c>
      <c r="AP138" s="56" t="s">
        <v>45</v>
      </c>
      <c r="AQ138" s="57" t="s">
        <v>46</v>
      </c>
      <c r="AR138" s="58">
        <v>895770.92</v>
      </c>
    </row>
    <row r="139" spans="1:44" ht="14.4">
      <c r="A139" s="17" t="s">
        <v>522</v>
      </c>
      <c r="B139" s="17" t="s">
        <v>522</v>
      </c>
      <c r="C139" s="18" t="s">
        <v>523</v>
      </c>
      <c r="D139" s="19" t="s">
        <v>24</v>
      </c>
      <c r="E139" s="20" t="s">
        <v>524</v>
      </c>
      <c r="F139" s="21" t="s">
        <v>26</v>
      </c>
      <c r="G139" s="22">
        <v>2115</v>
      </c>
      <c r="H139" s="22">
        <v>0</v>
      </c>
      <c r="I139" s="22">
        <v>2115</v>
      </c>
      <c r="J139" s="23">
        <v>1</v>
      </c>
      <c r="K139" s="412">
        <f t="shared" si="14"/>
        <v>0</v>
      </c>
      <c r="L139" s="417">
        <v>0</v>
      </c>
      <c r="M139" s="417">
        <v>259.5</v>
      </c>
      <c r="N139" s="4">
        <v>0</v>
      </c>
      <c r="O139" s="24" t="s">
        <v>559</v>
      </c>
      <c r="P139" s="17" t="s">
        <v>540</v>
      </c>
      <c r="Q139" s="18" t="s">
        <v>541</v>
      </c>
      <c r="R139" s="19" t="s">
        <v>369</v>
      </c>
      <c r="S139" s="20" t="s">
        <v>548</v>
      </c>
      <c r="T139" s="21" t="s">
        <v>32</v>
      </c>
      <c r="U139" s="10" t="s">
        <v>42</v>
      </c>
      <c r="V139" s="10" t="s">
        <v>42</v>
      </c>
      <c r="W139" s="11">
        <v>0.25</v>
      </c>
      <c r="X139" s="11">
        <v>0.75</v>
      </c>
      <c r="Y139" s="11">
        <f t="shared" si="12"/>
        <v>1</v>
      </c>
      <c r="Z139" s="11" t="s">
        <v>33</v>
      </c>
      <c r="AA139" s="11" t="s">
        <v>33</v>
      </c>
      <c r="AC139" s="26" t="s">
        <v>560</v>
      </c>
      <c r="AD139" s="26" t="s">
        <v>560</v>
      </c>
      <c r="AE139" s="27" t="s">
        <v>526</v>
      </c>
      <c r="AF139" s="28" t="s">
        <v>24</v>
      </c>
      <c r="AG139" s="29" t="s">
        <v>527</v>
      </c>
      <c r="AH139" s="26" t="s">
        <v>26</v>
      </c>
      <c r="AI139" s="30">
        <v>0</v>
      </c>
      <c r="AJ139" s="30" t="s">
        <v>34</v>
      </c>
      <c r="AK139" s="31">
        <v>1151</v>
      </c>
      <c r="AM139" s="57" t="s">
        <v>561</v>
      </c>
      <c r="AN139" s="54" t="s">
        <v>52</v>
      </c>
      <c r="AO139" s="55" t="s">
        <v>37</v>
      </c>
      <c r="AP139" s="56" t="s">
        <v>53</v>
      </c>
      <c r="AQ139" s="57" t="s">
        <v>46</v>
      </c>
      <c r="AR139" s="58">
        <v>3295704.2</v>
      </c>
    </row>
    <row r="140" spans="1:44" ht="14.4">
      <c r="A140" s="17" t="s">
        <v>560</v>
      </c>
      <c r="B140" s="17" t="s">
        <v>560</v>
      </c>
      <c r="C140" s="18" t="s">
        <v>526</v>
      </c>
      <c r="D140" s="19" t="s">
        <v>24</v>
      </c>
      <c r="E140" s="20" t="s">
        <v>527</v>
      </c>
      <c r="F140" s="21" t="s">
        <v>26</v>
      </c>
      <c r="G140" s="22">
        <v>11988</v>
      </c>
      <c r="H140" s="22">
        <v>7918</v>
      </c>
      <c r="I140" s="22">
        <v>4070</v>
      </c>
      <c r="J140" s="23">
        <v>0.33950617283950618</v>
      </c>
      <c r="K140" s="412">
        <f t="shared" si="14"/>
        <v>632</v>
      </c>
      <c r="L140" s="417">
        <v>698</v>
      </c>
      <c r="M140" s="417">
        <v>605</v>
      </c>
      <c r="N140" s="4">
        <v>632</v>
      </c>
      <c r="O140" s="17" t="s">
        <v>150</v>
      </c>
      <c r="P140" s="17" t="s">
        <v>150</v>
      </c>
      <c r="Q140" s="18" t="s">
        <v>469</v>
      </c>
      <c r="R140" s="19" t="s">
        <v>24</v>
      </c>
      <c r="S140" s="20" t="s">
        <v>470</v>
      </c>
      <c r="T140" s="21" t="s">
        <v>26</v>
      </c>
      <c r="U140" s="10">
        <v>1.0840000000000001</v>
      </c>
      <c r="V140" s="10">
        <v>1.087</v>
      </c>
      <c r="W140" s="11">
        <v>0.25</v>
      </c>
      <c r="X140" s="11">
        <v>0.75</v>
      </c>
      <c r="Y140" s="11">
        <f t="shared" si="12"/>
        <v>1.0862500000000002</v>
      </c>
      <c r="Z140" s="11" t="s">
        <v>33</v>
      </c>
      <c r="AA140" s="11" t="s">
        <v>33</v>
      </c>
      <c r="AC140" s="26" t="s">
        <v>529</v>
      </c>
      <c r="AD140" s="26" t="s">
        <v>529</v>
      </c>
      <c r="AE140" s="27" t="s">
        <v>530</v>
      </c>
      <c r="AF140" s="28" t="s">
        <v>24</v>
      </c>
      <c r="AG140" s="29" t="s">
        <v>531</v>
      </c>
      <c r="AH140" s="26" t="s">
        <v>26</v>
      </c>
      <c r="AI140" s="30">
        <v>0</v>
      </c>
      <c r="AJ140" s="30" t="s">
        <v>34</v>
      </c>
      <c r="AK140" s="31">
        <v>857</v>
      </c>
      <c r="AM140" s="57" t="s">
        <v>65</v>
      </c>
      <c r="AN140" s="54" t="s">
        <v>66</v>
      </c>
      <c r="AO140" s="55" t="s">
        <v>37</v>
      </c>
      <c r="AP140" s="56" t="s">
        <v>67</v>
      </c>
      <c r="AQ140" s="57" t="s">
        <v>46</v>
      </c>
      <c r="AR140" s="58">
        <v>4177778.75</v>
      </c>
    </row>
    <row r="141" spans="1:44" ht="14.4">
      <c r="A141" s="17" t="s">
        <v>529</v>
      </c>
      <c r="B141" s="17" t="s">
        <v>529</v>
      </c>
      <c r="C141" s="18" t="s">
        <v>530</v>
      </c>
      <c r="D141" s="19" t="s">
        <v>24</v>
      </c>
      <c r="E141" s="20" t="s">
        <v>531</v>
      </c>
      <c r="F141" s="21" t="s">
        <v>26</v>
      </c>
      <c r="G141" s="22">
        <v>6943</v>
      </c>
      <c r="H141" s="22">
        <v>5283</v>
      </c>
      <c r="I141" s="22">
        <v>1660</v>
      </c>
      <c r="J141" s="23">
        <v>0.2390897306639781</v>
      </c>
      <c r="K141" s="412">
        <f t="shared" si="14"/>
        <v>503</v>
      </c>
      <c r="L141" s="417">
        <v>503</v>
      </c>
      <c r="M141" s="417">
        <v>465.5</v>
      </c>
      <c r="N141" s="4">
        <v>503</v>
      </c>
      <c r="O141" s="24" t="s">
        <v>200</v>
      </c>
      <c r="P141" s="17" t="s">
        <v>36</v>
      </c>
      <c r="Q141" s="18" t="s">
        <v>37</v>
      </c>
      <c r="R141" s="19" t="s">
        <v>201</v>
      </c>
      <c r="S141" s="20" t="s">
        <v>202</v>
      </c>
      <c r="T141" s="21" t="s">
        <v>32</v>
      </c>
      <c r="U141" s="10">
        <v>1.1499999999999999</v>
      </c>
      <c r="V141" s="10">
        <v>1.1479999999999999</v>
      </c>
      <c r="W141" s="11">
        <v>0.25</v>
      </c>
      <c r="X141" s="11">
        <v>0.75</v>
      </c>
      <c r="Y141" s="11">
        <f t="shared" si="12"/>
        <v>1.1484999999999999</v>
      </c>
      <c r="Z141" s="11" t="s">
        <v>33</v>
      </c>
      <c r="AA141" s="11" t="s">
        <v>33</v>
      </c>
      <c r="AC141" s="26" t="s">
        <v>532</v>
      </c>
      <c r="AD141" s="26" t="s">
        <v>532</v>
      </c>
      <c r="AE141" s="27" t="s">
        <v>194</v>
      </c>
      <c r="AF141" s="28" t="s">
        <v>24</v>
      </c>
      <c r="AG141" s="29" t="s">
        <v>533</v>
      </c>
      <c r="AH141" s="26" t="s">
        <v>26</v>
      </c>
      <c r="AI141" s="30">
        <v>0</v>
      </c>
      <c r="AJ141" s="30" t="s">
        <v>34</v>
      </c>
      <c r="AK141" s="31">
        <v>806</v>
      </c>
      <c r="AM141" s="57" t="s">
        <v>562</v>
      </c>
      <c r="AN141" s="54" t="s">
        <v>76</v>
      </c>
      <c r="AO141" s="55" t="s">
        <v>37</v>
      </c>
      <c r="AP141" s="56" t="s">
        <v>77</v>
      </c>
      <c r="AQ141" s="57" t="s">
        <v>46</v>
      </c>
      <c r="AR141" s="58">
        <v>1329258.32</v>
      </c>
    </row>
    <row r="142" spans="1:44" ht="14.4">
      <c r="A142" s="17" t="s">
        <v>532</v>
      </c>
      <c r="B142" s="17" t="s">
        <v>532</v>
      </c>
      <c r="C142" s="18" t="s">
        <v>194</v>
      </c>
      <c r="D142" s="19" t="s">
        <v>24</v>
      </c>
      <c r="E142" s="20" t="s">
        <v>533</v>
      </c>
      <c r="F142" s="21" t="s">
        <v>26</v>
      </c>
      <c r="G142" s="22">
        <v>8735</v>
      </c>
      <c r="H142" s="22">
        <v>2735</v>
      </c>
      <c r="I142" s="22">
        <v>6000</v>
      </c>
      <c r="J142" s="23">
        <v>0.68689181453921011</v>
      </c>
      <c r="K142" s="412">
        <f t="shared" si="14"/>
        <v>482</v>
      </c>
      <c r="L142" s="417">
        <v>515</v>
      </c>
      <c r="M142" s="417">
        <v>423</v>
      </c>
      <c r="N142" s="4">
        <v>482</v>
      </c>
      <c r="O142" s="17" t="s">
        <v>563</v>
      </c>
      <c r="P142" s="17" t="s">
        <v>450</v>
      </c>
      <c r="Q142" s="50" t="s">
        <v>564</v>
      </c>
      <c r="R142" s="51" t="s">
        <v>37</v>
      </c>
      <c r="S142" s="52" t="s">
        <v>565</v>
      </c>
      <c r="T142" s="17" t="s">
        <v>46</v>
      </c>
      <c r="U142" s="10">
        <v>1.0580000000000001</v>
      </c>
      <c r="V142" s="10">
        <v>1.073</v>
      </c>
      <c r="W142" s="11">
        <v>0.25</v>
      </c>
      <c r="X142" s="11">
        <v>0.75</v>
      </c>
      <c r="Y142" s="11">
        <f t="shared" si="12"/>
        <v>1.06925</v>
      </c>
      <c r="Z142" s="11" t="s">
        <v>33</v>
      </c>
      <c r="AA142" s="11" t="s">
        <v>33</v>
      </c>
      <c r="AC142" s="26" t="s">
        <v>534</v>
      </c>
      <c r="AD142" s="26" t="s">
        <v>534</v>
      </c>
      <c r="AE142" s="27" t="s">
        <v>535</v>
      </c>
      <c r="AF142" s="28" t="s">
        <v>24</v>
      </c>
      <c r="AG142" s="29" t="s">
        <v>536</v>
      </c>
      <c r="AH142" s="26" t="s">
        <v>26</v>
      </c>
      <c r="AI142" s="30">
        <v>0</v>
      </c>
      <c r="AJ142" s="30" t="s">
        <v>34</v>
      </c>
      <c r="AK142" s="31">
        <v>49.5</v>
      </c>
      <c r="AM142" s="57" t="s">
        <v>566</v>
      </c>
      <c r="AN142" s="54" t="s">
        <v>83</v>
      </c>
      <c r="AO142" s="55" t="s">
        <v>37</v>
      </c>
      <c r="AP142" s="56" t="s">
        <v>84</v>
      </c>
      <c r="AQ142" s="57" t="s">
        <v>46</v>
      </c>
      <c r="AR142" s="58">
        <v>7222098.6299999999</v>
      </c>
    </row>
    <row r="143" spans="1:44" ht="14.4">
      <c r="A143" s="17" t="s">
        <v>534</v>
      </c>
      <c r="B143" s="17" t="s">
        <v>534</v>
      </c>
      <c r="C143" s="18" t="s">
        <v>535</v>
      </c>
      <c r="D143" s="19" t="s">
        <v>24</v>
      </c>
      <c r="E143" s="20" t="s">
        <v>536</v>
      </c>
      <c r="F143" s="21" t="s">
        <v>26</v>
      </c>
      <c r="G143" s="22">
        <v>685</v>
      </c>
      <c r="H143" s="22">
        <v>0</v>
      </c>
      <c r="I143" s="22">
        <v>685</v>
      </c>
      <c r="J143" s="23">
        <v>1</v>
      </c>
      <c r="K143" s="412">
        <f t="shared" si="14"/>
        <v>29.5</v>
      </c>
      <c r="L143" s="417">
        <v>59</v>
      </c>
      <c r="M143" s="417">
        <v>29.5</v>
      </c>
      <c r="N143" s="4">
        <v>26</v>
      </c>
      <c r="O143" s="17" t="s">
        <v>474</v>
      </c>
      <c r="P143" s="17" t="s">
        <v>474</v>
      </c>
      <c r="Q143" s="18" t="s">
        <v>369</v>
      </c>
      <c r="R143" s="19" t="s">
        <v>24</v>
      </c>
      <c r="S143" s="20" t="s">
        <v>475</v>
      </c>
      <c r="T143" s="21" t="s">
        <v>26</v>
      </c>
      <c r="U143" s="10">
        <v>1.03</v>
      </c>
      <c r="V143" s="10" t="s">
        <v>42</v>
      </c>
      <c r="W143" s="11">
        <v>0.25</v>
      </c>
      <c r="X143" s="11">
        <v>0.75</v>
      </c>
      <c r="Y143" s="11">
        <f t="shared" si="12"/>
        <v>1.0075000000000001</v>
      </c>
      <c r="Z143" s="11" t="s">
        <v>33</v>
      </c>
      <c r="AA143" s="11" t="s">
        <v>33</v>
      </c>
      <c r="AC143" s="26" t="s">
        <v>537</v>
      </c>
      <c r="AD143" s="26" t="s">
        <v>537</v>
      </c>
      <c r="AE143" s="27" t="s">
        <v>538</v>
      </c>
      <c r="AF143" s="28" t="s">
        <v>24</v>
      </c>
      <c r="AG143" s="29" t="s">
        <v>539</v>
      </c>
      <c r="AH143" s="26" t="s">
        <v>26</v>
      </c>
      <c r="AI143" s="30">
        <v>0</v>
      </c>
      <c r="AJ143" s="30" t="s">
        <v>34</v>
      </c>
      <c r="AK143" s="31">
        <v>75</v>
      </c>
      <c r="AM143" s="57" t="s">
        <v>567</v>
      </c>
      <c r="AN143" s="54" t="s">
        <v>89</v>
      </c>
      <c r="AO143" s="55" t="s">
        <v>37</v>
      </c>
      <c r="AP143" s="56" t="s">
        <v>90</v>
      </c>
      <c r="AQ143" s="57" t="s">
        <v>46</v>
      </c>
      <c r="AR143" s="58">
        <v>2317870.5299999998</v>
      </c>
    </row>
    <row r="144" spans="1:44" ht="14.4">
      <c r="A144" s="17" t="s">
        <v>537</v>
      </c>
      <c r="B144" s="17" t="s">
        <v>537</v>
      </c>
      <c r="C144" s="18" t="s">
        <v>538</v>
      </c>
      <c r="D144" s="19" t="s">
        <v>24</v>
      </c>
      <c r="E144" s="20" t="s">
        <v>539</v>
      </c>
      <c r="F144" s="21" t="s">
        <v>26</v>
      </c>
      <c r="G144" s="22">
        <v>644</v>
      </c>
      <c r="H144" s="22">
        <v>0</v>
      </c>
      <c r="I144" s="22">
        <v>644</v>
      </c>
      <c r="J144" s="23">
        <v>1</v>
      </c>
      <c r="K144" s="412">
        <f t="shared" si="14"/>
        <v>43</v>
      </c>
      <c r="L144" s="417">
        <v>43</v>
      </c>
      <c r="M144" s="417">
        <v>41</v>
      </c>
      <c r="N144" s="4">
        <v>43</v>
      </c>
      <c r="O144" s="17" t="s">
        <v>478</v>
      </c>
      <c r="P144" s="17" t="s">
        <v>478</v>
      </c>
      <c r="Q144" s="18" t="s">
        <v>479</v>
      </c>
      <c r="R144" s="19" t="s">
        <v>24</v>
      </c>
      <c r="S144" s="20" t="s">
        <v>480</v>
      </c>
      <c r="T144" s="21" t="s">
        <v>26</v>
      </c>
      <c r="U144" s="10">
        <v>1.0680000000000001</v>
      </c>
      <c r="V144" s="10">
        <v>1.0680000000000001</v>
      </c>
      <c r="W144" s="11">
        <v>0.25</v>
      </c>
      <c r="X144" s="11">
        <v>0.75</v>
      </c>
      <c r="Y144" s="11">
        <f t="shared" si="12"/>
        <v>1.0680000000000001</v>
      </c>
      <c r="Z144" s="11" t="s">
        <v>33</v>
      </c>
      <c r="AA144" s="11" t="s">
        <v>33</v>
      </c>
      <c r="AC144" s="26" t="s">
        <v>540</v>
      </c>
      <c r="AD144" s="26" t="s">
        <v>540</v>
      </c>
      <c r="AE144" s="27" t="s">
        <v>541</v>
      </c>
      <c r="AF144" s="28" t="s">
        <v>24</v>
      </c>
      <c r="AG144" s="29" t="s">
        <v>542</v>
      </c>
      <c r="AH144" s="26" t="s">
        <v>26</v>
      </c>
      <c r="AI144" s="30">
        <v>0</v>
      </c>
      <c r="AJ144" s="30" t="s">
        <v>34</v>
      </c>
      <c r="AK144" s="31">
        <v>1428</v>
      </c>
      <c r="AM144" s="57" t="s">
        <v>568</v>
      </c>
      <c r="AN144" s="54" t="s">
        <v>97</v>
      </c>
      <c r="AO144" s="55" t="s">
        <v>37</v>
      </c>
      <c r="AP144" s="56" t="s">
        <v>98</v>
      </c>
      <c r="AQ144" s="57" t="s">
        <v>46</v>
      </c>
      <c r="AR144" s="58">
        <v>1981199.23</v>
      </c>
    </row>
    <row r="145" spans="1:44" ht="14.4">
      <c r="A145" s="17" t="s">
        <v>540</v>
      </c>
      <c r="B145" s="17" t="s">
        <v>540</v>
      </c>
      <c r="C145" s="18" t="s">
        <v>541</v>
      </c>
      <c r="D145" s="19" t="s">
        <v>24</v>
      </c>
      <c r="E145" s="20" t="s">
        <v>542</v>
      </c>
      <c r="F145" s="21" t="s">
        <v>26</v>
      </c>
      <c r="G145" s="22">
        <v>11020</v>
      </c>
      <c r="H145" s="22">
        <v>5853</v>
      </c>
      <c r="I145" s="22">
        <v>5167</v>
      </c>
      <c r="J145" s="23">
        <v>0.4688747731397459</v>
      </c>
      <c r="K145" s="412">
        <f t="shared" si="14"/>
        <v>670</v>
      </c>
      <c r="L145" s="417">
        <v>670</v>
      </c>
      <c r="M145" s="417">
        <v>732</v>
      </c>
      <c r="N145" s="4">
        <v>670</v>
      </c>
      <c r="O145" s="17" t="s">
        <v>481</v>
      </c>
      <c r="P145" s="17" t="s">
        <v>481</v>
      </c>
      <c r="Q145" s="18" t="s">
        <v>482</v>
      </c>
      <c r="R145" s="19" t="s">
        <v>24</v>
      </c>
      <c r="S145" s="20" t="s">
        <v>483</v>
      </c>
      <c r="T145" s="21" t="s">
        <v>26</v>
      </c>
      <c r="U145" s="10">
        <v>1.08</v>
      </c>
      <c r="V145" s="10">
        <v>1.0780000000000001</v>
      </c>
      <c r="W145" s="11">
        <v>0.25</v>
      </c>
      <c r="X145" s="11">
        <v>0.75</v>
      </c>
      <c r="Y145" s="11">
        <f t="shared" si="12"/>
        <v>1.0785</v>
      </c>
      <c r="Z145" s="11" t="s">
        <v>33</v>
      </c>
      <c r="AA145" s="11" t="s">
        <v>33</v>
      </c>
      <c r="AC145" s="39" t="s">
        <v>559</v>
      </c>
      <c r="AD145" s="26" t="s">
        <v>540</v>
      </c>
      <c r="AE145" s="27" t="s">
        <v>541</v>
      </c>
      <c r="AF145" s="28" t="s">
        <v>369</v>
      </c>
      <c r="AG145" s="29" t="s">
        <v>548</v>
      </c>
      <c r="AH145" s="26" t="s">
        <v>32</v>
      </c>
      <c r="AI145" s="30">
        <v>0</v>
      </c>
      <c r="AJ145" s="30" t="s">
        <v>34</v>
      </c>
      <c r="AK145" s="31">
        <v>68</v>
      </c>
      <c r="AM145" s="57" t="s">
        <v>569</v>
      </c>
      <c r="AN145" s="54" t="s">
        <v>108</v>
      </c>
      <c r="AO145" s="55" t="s">
        <v>37</v>
      </c>
      <c r="AP145" s="56" t="s">
        <v>109</v>
      </c>
      <c r="AQ145" s="57" t="s">
        <v>46</v>
      </c>
      <c r="AR145" s="58">
        <v>1748858.37</v>
      </c>
    </row>
    <row r="146" spans="1:44" ht="14.4">
      <c r="A146" s="24" t="s">
        <v>559</v>
      </c>
      <c r="B146" s="17" t="s">
        <v>540</v>
      </c>
      <c r="C146" s="18" t="s">
        <v>541</v>
      </c>
      <c r="D146" s="19" t="s">
        <v>369</v>
      </c>
      <c r="E146" s="20" t="s">
        <v>548</v>
      </c>
      <c r="F146" s="21" t="s">
        <v>32</v>
      </c>
      <c r="K146" s="412">
        <f t="shared" si="14"/>
        <v>0</v>
      </c>
      <c r="L146" s="417">
        <v>0</v>
      </c>
      <c r="M146" s="417">
        <v>54.5</v>
      </c>
      <c r="N146" s="4">
        <v>0</v>
      </c>
      <c r="O146" s="24" t="s">
        <v>368</v>
      </c>
      <c r="P146" s="17" t="s">
        <v>366</v>
      </c>
      <c r="Q146" s="18" t="s">
        <v>93</v>
      </c>
      <c r="R146" s="19" t="s">
        <v>369</v>
      </c>
      <c r="S146" s="20" t="s">
        <v>370</v>
      </c>
      <c r="T146" s="21" t="s">
        <v>32</v>
      </c>
      <c r="U146" s="10">
        <v>1.0209999999999999</v>
      </c>
      <c r="V146" s="10">
        <v>1.036</v>
      </c>
      <c r="W146" s="11">
        <v>0.25</v>
      </c>
      <c r="X146" s="11">
        <v>0.75</v>
      </c>
      <c r="Y146" s="11">
        <f t="shared" si="12"/>
        <v>1.0322499999999999</v>
      </c>
      <c r="Z146" s="11" t="s">
        <v>33</v>
      </c>
      <c r="AA146" s="11" t="s">
        <v>33</v>
      </c>
      <c r="AC146" s="40" t="s">
        <v>570</v>
      </c>
      <c r="AD146" s="40" t="s">
        <v>540</v>
      </c>
      <c r="AE146" s="41"/>
      <c r="AF146" s="40"/>
      <c r="AG146" s="40" t="s">
        <v>234</v>
      </c>
      <c r="AH146" s="40"/>
      <c r="AI146" s="42">
        <v>0</v>
      </c>
      <c r="AJ146" s="40"/>
      <c r="AK146" s="44">
        <v>1496</v>
      </c>
      <c r="AM146" s="57" t="s">
        <v>114</v>
      </c>
      <c r="AN146" s="54" t="s">
        <v>115</v>
      </c>
      <c r="AO146" s="55" t="s">
        <v>37</v>
      </c>
      <c r="AP146" s="56" t="s">
        <v>116</v>
      </c>
      <c r="AQ146" s="57" t="s">
        <v>46</v>
      </c>
      <c r="AR146" s="58">
        <v>1342923.6</v>
      </c>
    </row>
    <row r="147" spans="1:44" ht="14.4">
      <c r="A147" s="45" t="s">
        <v>570</v>
      </c>
      <c r="B147" s="45" t="s">
        <v>540</v>
      </c>
      <c r="C147" s="46"/>
      <c r="D147" s="45"/>
      <c r="E147" s="45" t="s">
        <v>234</v>
      </c>
      <c r="F147" s="45"/>
      <c r="K147" s="42">
        <v>670</v>
      </c>
      <c r="L147" s="418">
        <v>670</v>
      </c>
      <c r="M147" s="418"/>
      <c r="N147" s="4">
        <v>670</v>
      </c>
      <c r="O147" s="17" t="s">
        <v>484</v>
      </c>
      <c r="P147" s="17" t="s">
        <v>484</v>
      </c>
      <c r="Q147" s="18" t="s">
        <v>485</v>
      </c>
      <c r="R147" s="19" t="s">
        <v>24</v>
      </c>
      <c r="S147" s="20" t="s">
        <v>486</v>
      </c>
      <c r="T147" s="21" t="s">
        <v>26</v>
      </c>
      <c r="U147" s="10">
        <v>1.121</v>
      </c>
      <c r="V147" s="10">
        <v>1.1060000000000001</v>
      </c>
      <c r="W147" s="11">
        <v>0.25</v>
      </c>
      <c r="X147" s="11">
        <v>0.75</v>
      </c>
      <c r="Y147" s="11">
        <f t="shared" si="12"/>
        <v>1.10975</v>
      </c>
      <c r="Z147" s="11" t="s">
        <v>33</v>
      </c>
      <c r="AA147" s="11" t="s">
        <v>33</v>
      </c>
      <c r="AC147" s="26" t="s">
        <v>550</v>
      </c>
      <c r="AD147" s="26" t="s">
        <v>550</v>
      </c>
      <c r="AE147" s="27" t="s">
        <v>551</v>
      </c>
      <c r="AF147" s="28" t="s">
        <v>24</v>
      </c>
      <c r="AG147" s="29" t="s">
        <v>552</v>
      </c>
      <c r="AH147" s="26" t="s">
        <v>26</v>
      </c>
      <c r="AI147" s="30">
        <v>1</v>
      </c>
      <c r="AJ147" s="30" t="s">
        <v>34</v>
      </c>
      <c r="AK147" s="31">
        <v>1221.5</v>
      </c>
      <c r="AM147" s="57" t="s">
        <v>571</v>
      </c>
      <c r="AN147" s="54" t="s">
        <v>122</v>
      </c>
      <c r="AO147" s="55" t="s">
        <v>37</v>
      </c>
      <c r="AP147" s="56" t="s">
        <v>123</v>
      </c>
      <c r="AQ147" s="57" t="s">
        <v>46</v>
      </c>
      <c r="AR147" s="58">
        <v>3318718.01</v>
      </c>
    </row>
    <row r="148" spans="1:44" ht="14.4">
      <c r="A148" s="17" t="s">
        <v>550</v>
      </c>
      <c r="B148" s="17" t="s">
        <v>550</v>
      </c>
      <c r="C148" s="18" t="s">
        <v>551</v>
      </c>
      <c r="D148" s="19" t="s">
        <v>24</v>
      </c>
      <c r="E148" s="20" t="s">
        <v>552</v>
      </c>
      <c r="F148" s="21" t="s">
        <v>26</v>
      </c>
      <c r="G148" s="22">
        <v>7881</v>
      </c>
      <c r="H148" s="22">
        <v>6744</v>
      </c>
      <c r="I148" s="22">
        <v>1137</v>
      </c>
      <c r="J148" s="23">
        <v>0.14427103159497526</v>
      </c>
      <c r="K148" s="412">
        <f>MIN($L148,MAX($M148,$N148))</f>
        <v>496</v>
      </c>
      <c r="L148" s="417">
        <v>496</v>
      </c>
      <c r="M148" s="417">
        <v>646</v>
      </c>
      <c r="N148" s="4">
        <v>496</v>
      </c>
      <c r="O148" s="17" t="s">
        <v>572</v>
      </c>
      <c r="P148" s="17" t="s">
        <v>150</v>
      </c>
      <c r="Q148" s="50" t="s">
        <v>573</v>
      </c>
      <c r="R148" s="51" t="s">
        <v>37</v>
      </c>
      <c r="S148" s="52" t="s">
        <v>574</v>
      </c>
      <c r="T148" s="17" t="s">
        <v>46</v>
      </c>
      <c r="U148" s="10">
        <v>1.0469999999999999</v>
      </c>
      <c r="V148" s="10">
        <v>1.0509999999999999</v>
      </c>
      <c r="W148" s="11">
        <v>0.25</v>
      </c>
      <c r="X148" s="11">
        <v>0.75</v>
      </c>
      <c r="Y148" s="11">
        <f t="shared" si="12"/>
        <v>1.0499999999999998</v>
      </c>
      <c r="Z148" s="11" t="s">
        <v>33</v>
      </c>
      <c r="AA148" s="11" t="s">
        <v>33</v>
      </c>
      <c r="AC148" s="57" t="s">
        <v>575</v>
      </c>
      <c r="AD148" s="57"/>
      <c r="AE148" s="54"/>
      <c r="AF148" s="55"/>
      <c r="AG148" s="56"/>
      <c r="AH148" s="57"/>
      <c r="AI148" s="59"/>
      <c r="AJ148" s="57"/>
      <c r="AK148" s="60"/>
      <c r="AM148" s="57" t="s">
        <v>576</v>
      </c>
      <c r="AN148" s="54" t="s">
        <v>211</v>
      </c>
      <c r="AO148" s="55" t="s">
        <v>37</v>
      </c>
      <c r="AP148" s="56" t="s">
        <v>212</v>
      </c>
      <c r="AQ148" s="57" t="s">
        <v>46</v>
      </c>
      <c r="AR148" s="58">
        <v>2178539.75</v>
      </c>
    </row>
    <row r="149" spans="1:44" ht="14.4">
      <c r="A149" s="35" t="s">
        <v>575</v>
      </c>
      <c r="B149" s="35"/>
      <c r="C149" s="36"/>
      <c r="D149" s="37"/>
      <c r="E149" s="38"/>
      <c r="F149" s="35"/>
      <c r="G149" s="22"/>
      <c r="H149" s="22"/>
      <c r="I149" s="22"/>
      <c r="J149" s="23"/>
      <c r="K149" s="57"/>
      <c r="L149" s="420"/>
      <c r="M149" s="420"/>
      <c r="O149" s="17" t="s">
        <v>28</v>
      </c>
      <c r="P149" s="17" t="s">
        <v>28</v>
      </c>
      <c r="Q149" s="18" t="s">
        <v>29</v>
      </c>
      <c r="R149" s="19" t="s">
        <v>24</v>
      </c>
      <c r="S149" s="20" t="s">
        <v>487</v>
      </c>
      <c r="T149" s="21" t="s">
        <v>26</v>
      </c>
      <c r="U149" s="10">
        <v>1.0740000000000001</v>
      </c>
      <c r="V149" s="10">
        <v>1.0780000000000001</v>
      </c>
      <c r="W149" s="11">
        <v>0.25</v>
      </c>
      <c r="X149" s="11">
        <v>0.75</v>
      </c>
      <c r="Y149" s="11">
        <f t="shared" si="12"/>
        <v>1.077</v>
      </c>
      <c r="Z149" s="11" t="s">
        <v>33</v>
      </c>
      <c r="AA149" s="11" t="s">
        <v>33</v>
      </c>
      <c r="AC149" s="61" t="s">
        <v>43</v>
      </c>
      <c r="AD149" s="57" t="s">
        <v>36</v>
      </c>
      <c r="AE149" s="54" t="s">
        <v>44</v>
      </c>
      <c r="AF149" s="55" t="s">
        <v>37</v>
      </c>
      <c r="AG149" s="56" t="s">
        <v>45</v>
      </c>
      <c r="AH149" s="57" t="s">
        <v>46</v>
      </c>
      <c r="AI149" s="59">
        <v>0</v>
      </c>
      <c r="AJ149" s="59" t="s">
        <v>577</v>
      </c>
      <c r="AK149" s="60">
        <v>45</v>
      </c>
      <c r="AM149" s="57" t="s">
        <v>262</v>
      </c>
      <c r="AN149" s="54" t="s">
        <v>264</v>
      </c>
      <c r="AO149" s="55" t="s">
        <v>37</v>
      </c>
      <c r="AP149" s="56" t="s">
        <v>265</v>
      </c>
      <c r="AQ149" s="57" t="s">
        <v>46</v>
      </c>
      <c r="AR149" s="58">
        <v>503203.86</v>
      </c>
    </row>
    <row r="150" spans="1:44" ht="14.4">
      <c r="A150" s="34" t="s">
        <v>43</v>
      </c>
      <c r="B150" s="35" t="s">
        <v>36</v>
      </c>
      <c r="C150" s="36" t="s">
        <v>44</v>
      </c>
      <c r="D150" s="37" t="s">
        <v>37</v>
      </c>
      <c r="E150" s="38" t="s">
        <v>45</v>
      </c>
      <c r="F150" s="35" t="s">
        <v>46</v>
      </c>
      <c r="K150" s="412">
        <f t="shared" ref="K150:K202" si="15">MIN($L150,MAX($M150,$N150))</f>
        <v>0</v>
      </c>
      <c r="L150" s="417">
        <v>0</v>
      </c>
      <c r="M150" s="417">
        <v>154</v>
      </c>
      <c r="N150" s="4">
        <v>0</v>
      </c>
      <c r="O150" s="17" t="s">
        <v>490</v>
      </c>
      <c r="P150" s="17" t="s">
        <v>490</v>
      </c>
      <c r="Q150" s="18" t="s">
        <v>214</v>
      </c>
      <c r="R150" s="19" t="s">
        <v>24</v>
      </c>
      <c r="S150" s="20" t="s">
        <v>491</v>
      </c>
      <c r="T150" s="21" t="s">
        <v>26</v>
      </c>
      <c r="U150" s="10">
        <v>1.0409999999999999</v>
      </c>
      <c r="V150" s="10">
        <v>1.0289999999999999</v>
      </c>
      <c r="W150" s="11">
        <v>0.25</v>
      </c>
      <c r="X150" s="11">
        <v>0.75</v>
      </c>
      <c r="Y150" s="11">
        <f t="shared" si="12"/>
        <v>1.032</v>
      </c>
      <c r="Z150" s="11" t="s">
        <v>33</v>
      </c>
      <c r="AA150" s="11" t="s">
        <v>33</v>
      </c>
      <c r="AC150" s="57" t="s">
        <v>65</v>
      </c>
      <c r="AD150" s="57" t="s">
        <v>36</v>
      </c>
      <c r="AE150" s="54" t="s">
        <v>66</v>
      </c>
      <c r="AF150" s="55" t="s">
        <v>37</v>
      </c>
      <c r="AG150" s="56" t="s">
        <v>67</v>
      </c>
      <c r="AH150" s="57" t="s">
        <v>46</v>
      </c>
      <c r="AI150" s="59">
        <v>0</v>
      </c>
      <c r="AJ150" s="59" t="s">
        <v>34</v>
      </c>
      <c r="AK150" s="60">
        <v>378.5</v>
      </c>
      <c r="AM150" s="57" t="s">
        <v>578</v>
      </c>
      <c r="AN150" s="54" t="s">
        <v>308</v>
      </c>
      <c r="AO150" s="55" t="s">
        <v>37</v>
      </c>
      <c r="AP150" s="56" t="s">
        <v>309</v>
      </c>
      <c r="AQ150" s="57" t="s">
        <v>46</v>
      </c>
      <c r="AR150" s="58">
        <v>4668361</v>
      </c>
    </row>
    <row r="151" spans="1:44" ht="14.4">
      <c r="A151" s="35" t="s">
        <v>65</v>
      </c>
      <c r="B151" s="35" t="s">
        <v>36</v>
      </c>
      <c r="C151" s="36" t="s">
        <v>66</v>
      </c>
      <c r="D151" s="37" t="s">
        <v>37</v>
      </c>
      <c r="E151" s="38" t="s">
        <v>67</v>
      </c>
      <c r="F151" s="35" t="s">
        <v>46</v>
      </c>
      <c r="K151" s="412">
        <f t="shared" si="15"/>
        <v>0</v>
      </c>
      <c r="L151" s="417">
        <v>0</v>
      </c>
      <c r="M151" s="417">
        <v>45</v>
      </c>
      <c r="N151" s="4">
        <v>0</v>
      </c>
      <c r="O151" s="17" t="s">
        <v>579</v>
      </c>
      <c r="P151" s="17" t="s">
        <v>395</v>
      </c>
      <c r="Q151" s="50" t="s">
        <v>580</v>
      </c>
      <c r="R151" s="51" t="s">
        <v>37</v>
      </c>
      <c r="S151" s="52" t="s">
        <v>581</v>
      </c>
      <c r="T151" s="17" t="s">
        <v>46</v>
      </c>
      <c r="U151" s="10">
        <v>1.089</v>
      </c>
      <c r="V151" s="10">
        <v>1.0640000000000001</v>
      </c>
      <c r="W151" s="11">
        <v>0.25</v>
      </c>
      <c r="X151" s="11">
        <v>0.75</v>
      </c>
      <c r="Y151" s="11">
        <f t="shared" si="12"/>
        <v>1.0702500000000001</v>
      </c>
      <c r="Z151" s="11" t="s">
        <v>33</v>
      </c>
      <c r="AA151" s="11" t="s">
        <v>33</v>
      </c>
      <c r="AC151" s="57" t="s">
        <v>75</v>
      </c>
      <c r="AD151" s="57" t="s">
        <v>36</v>
      </c>
      <c r="AE151" s="54" t="s">
        <v>76</v>
      </c>
      <c r="AF151" s="55" t="s">
        <v>37</v>
      </c>
      <c r="AG151" s="56" t="s">
        <v>77</v>
      </c>
      <c r="AH151" s="57" t="s">
        <v>46</v>
      </c>
      <c r="AI151" s="59">
        <v>0</v>
      </c>
      <c r="AJ151" s="59" t="s">
        <v>577</v>
      </c>
      <c r="AK151" s="60">
        <v>131</v>
      </c>
      <c r="AM151" s="57" t="s">
        <v>582</v>
      </c>
      <c r="AN151" s="54" t="s">
        <v>314</v>
      </c>
      <c r="AO151" s="55" t="s">
        <v>37</v>
      </c>
      <c r="AP151" s="56" t="s">
        <v>315</v>
      </c>
      <c r="AQ151" s="57" t="s">
        <v>46</v>
      </c>
      <c r="AR151" s="58">
        <v>4797481.6900000004</v>
      </c>
    </row>
    <row r="152" spans="1:44" ht="14.4">
      <c r="A152" s="35" t="s">
        <v>75</v>
      </c>
      <c r="B152" s="35" t="s">
        <v>36</v>
      </c>
      <c r="C152" s="36" t="s">
        <v>76</v>
      </c>
      <c r="D152" s="37" t="s">
        <v>37</v>
      </c>
      <c r="E152" s="38" t="s">
        <v>77</v>
      </c>
      <c r="F152" s="35" t="s">
        <v>46</v>
      </c>
      <c r="K152" s="412">
        <f t="shared" si="15"/>
        <v>0</v>
      </c>
      <c r="L152" s="417">
        <v>0</v>
      </c>
      <c r="M152" s="417">
        <v>61</v>
      </c>
      <c r="N152" s="4">
        <v>0</v>
      </c>
      <c r="O152" s="24" t="s">
        <v>489</v>
      </c>
      <c r="P152" s="17" t="s">
        <v>474</v>
      </c>
      <c r="Q152" s="18" t="s">
        <v>369</v>
      </c>
      <c r="R152" s="19" t="s">
        <v>457</v>
      </c>
      <c r="S152" s="20" t="s">
        <v>477</v>
      </c>
      <c r="T152" s="21" t="s">
        <v>32</v>
      </c>
      <c r="U152" s="10">
        <v>1.129</v>
      </c>
      <c r="V152" s="10">
        <v>1.1890000000000001</v>
      </c>
      <c r="W152" s="11">
        <v>0.25</v>
      </c>
      <c r="X152" s="11">
        <v>0.75</v>
      </c>
      <c r="Y152" s="11">
        <f t="shared" si="12"/>
        <v>1.1739999999999999</v>
      </c>
      <c r="Z152" s="11" t="s">
        <v>33</v>
      </c>
      <c r="AA152" s="11" t="s">
        <v>33</v>
      </c>
      <c r="AC152" s="57" t="s">
        <v>51</v>
      </c>
      <c r="AD152" s="57" t="s">
        <v>36</v>
      </c>
      <c r="AE152" s="54" t="s">
        <v>52</v>
      </c>
      <c r="AF152" s="55" t="s">
        <v>37</v>
      </c>
      <c r="AG152" s="56" t="s">
        <v>53</v>
      </c>
      <c r="AH152" s="57" t="s">
        <v>46</v>
      </c>
      <c r="AI152" s="59">
        <v>0</v>
      </c>
      <c r="AJ152" s="59" t="s">
        <v>34</v>
      </c>
      <c r="AK152" s="60">
        <v>382</v>
      </c>
      <c r="AM152" s="57" t="s">
        <v>583</v>
      </c>
      <c r="AN152" s="54">
        <v>581</v>
      </c>
      <c r="AO152" s="55" t="s">
        <v>37</v>
      </c>
      <c r="AP152" s="56" t="s">
        <v>315</v>
      </c>
      <c r="AQ152" s="57" t="s">
        <v>46</v>
      </c>
      <c r="AR152" s="58">
        <v>0</v>
      </c>
    </row>
    <row r="153" spans="1:44" ht="14.4">
      <c r="A153" s="35" t="s">
        <v>51</v>
      </c>
      <c r="B153" s="35" t="s">
        <v>36</v>
      </c>
      <c r="C153" s="36" t="s">
        <v>52</v>
      </c>
      <c r="D153" s="37" t="s">
        <v>37</v>
      </c>
      <c r="E153" s="38" t="s">
        <v>53</v>
      </c>
      <c r="F153" s="35" t="s">
        <v>46</v>
      </c>
      <c r="K153" s="412">
        <f t="shared" si="15"/>
        <v>48</v>
      </c>
      <c r="L153" s="417">
        <v>48</v>
      </c>
      <c r="M153" s="417">
        <v>296</v>
      </c>
      <c r="N153" s="4">
        <v>48</v>
      </c>
      <c r="O153" s="24" t="s">
        <v>207</v>
      </c>
      <c r="P153" s="17" t="s">
        <v>36</v>
      </c>
      <c r="Q153" s="18" t="s">
        <v>37</v>
      </c>
      <c r="R153" s="19" t="s">
        <v>208</v>
      </c>
      <c r="S153" s="20" t="s">
        <v>209</v>
      </c>
      <c r="T153" s="21" t="s">
        <v>32</v>
      </c>
      <c r="U153" s="10">
        <v>1.1200000000000001</v>
      </c>
      <c r="V153" s="10">
        <v>1.194</v>
      </c>
      <c r="W153" s="11">
        <v>0.25</v>
      </c>
      <c r="X153" s="11">
        <v>0.75</v>
      </c>
      <c r="Y153" s="11">
        <f t="shared" si="12"/>
        <v>1.1755</v>
      </c>
      <c r="Z153" s="11" t="s">
        <v>33</v>
      </c>
      <c r="AA153" s="11" t="s">
        <v>33</v>
      </c>
      <c r="AC153" s="57" t="s">
        <v>82</v>
      </c>
      <c r="AD153" s="57" t="s">
        <v>36</v>
      </c>
      <c r="AE153" s="54" t="s">
        <v>83</v>
      </c>
      <c r="AF153" s="55" t="s">
        <v>37</v>
      </c>
      <c r="AG153" s="56" t="s">
        <v>84</v>
      </c>
      <c r="AH153" s="57" t="s">
        <v>46</v>
      </c>
      <c r="AI153" s="59">
        <v>1</v>
      </c>
      <c r="AJ153" s="59" t="s">
        <v>34</v>
      </c>
      <c r="AK153" s="60">
        <v>905</v>
      </c>
      <c r="AM153" s="57" t="s">
        <v>584</v>
      </c>
      <c r="AN153" s="54" t="s">
        <v>349</v>
      </c>
      <c r="AO153" s="55" t="s">
        <v>37</v>
      </c>
      <c r="AP153" s="56" t="s">
        <v>350</v>
      </c>
      <c r="AQ153" s="57" t="s">
        <v>46</v>
      </c>
      <c r="AR153" s="58">
        <v>3499368.84</v>
      </c>
    </row>
    <row r="154" spans="1:44" ht="14.4">
      <c r="A154" s="35" t="s">
        <v>82</v>
      </c>
      <c r="B154" s="35" t="s">
        <v>36</v>
      </c>
      <c r="C154" s="36" t="s">
        <v>83</v>
      </c>
      <c r="D154" s="37" t="s">
        <v>37</v>
      </c>
      <c r="E154" s="38" t="s">
        <v>84</v>
      </c>
      <c r="F154" s="35" t="s">
        <v>46</v>
      </c>
      <c r="K154" s="412">
        <f t="shared" si="15"/>
        <v>0</v>
      </c>
      <c r="L154" s="417">
        <v>0</v>
      </c>
      <c r="M154" s="417">
        <v>129.5</v>
      </c>
      <c r="N154" s="4">
        <v>0</v>
      </c>
      <c r="O154" s="17" t="s">
        <v>96</v>
      </c>
      <c r="P154" s="17" t="s">
        <v>96</v>
      </c>
      <c r="Q154" s="18" t="s">
        <v>494</v>
      </c>
      <c r="R154" s="19" t="s">
        <v>24</v>
      </c>
      <c r="S154" s="20" t="s">
        <v>495</v>
      </c>
      <c r="T154" s="21" t="s">
        <v>26</v>
      </c>
      <c r="U154" s="10">
        <v>1.1180000000000001</v>
      </c>
      <c r="V154" s="10">
        <v>1.0780000000000001</v>
      </c>
      <c r="W154" s="11">
        <v>0.25</v>
      </c>
      <c r="X154" s="11">
        <v>0.75</v>
      </c>
      <c r="Y154" s="11">
        <f t="shared" si="12"/>
        <v>1.0880000000000001</v>
      </c>
      <c r="Z154" s="11" t="s">
        <v>33</v>
      </c>
      <c r="AA154" s="11" t="s">
        <v>33</v>
      </c>
      <c r="AC154" s="57" t="s">
        <v>88</v>
      </c>
      <c r="AD154" s="57" t="s">
        <v>36</v>
      </c>
      <c r="AE154" s="54" t="s">
        <v>89</v>
      </c>
      <c r="AF154" s="55" t="s">
        <v>37</v>
      </c>
      <c r="AG154" s="56" t="s">
        <v>90</v>
      </c>
      <c r="AH154" s="57" t="s">
        <v>46</v>
      </c>
      <c r="AI154" s="59">
        <v>1</v>
      </c>
      <c r="AJ154" s="59" t="s">
        <v>34</v>
      </c>
      <c r="AK154" s="60">
        <v>111</v>
      </c>
      <c r="AM154" s="57" t="s">
        <v>585</v>
      </c>
      <c r="AN154" s="54" t="s">
        <v>355</v>
      </c>
      <c r="AO154" s="55" t="s">
        <v>37</v>
      </c>
      <c r="AP154" s="56" t="s">
        <v>356</v>
      </c>
      <c r="AQ154" s="57" t="s">
        <v>46</v>
      </c>
      <c r="AR154" s="58">
        <v>3731221.18</v>
      </c>
    </row>
    <row r="155" spans="1:44" ht="14.4">
      <c r="A155" s="35" t="s">
        <v>88</v>
      </c>
      <c r="B155" s="35" t="s">
        <v>36</v>
      </c>
      <c r="C155" s="36" t="s">
        <v>89</v>
      </c>
      <c r="D155" s="37" t="s">
        <v>37</v>
      </c>
      <c r="E155" s="38" t="s">
        <v>90</v>
      </c>
      <c r="F155" s="35" t="s">
        <v>46</v>
      </c>
      <c r="K155" s="412">
        <f t="shared" si="15"/>
        <v>0</v>
      </c>
      <c r="L155" s="417">
        <v>0</v>
      </c>
      <c r="M155" s="417">
        <v>523</v>
      </c>
      <c r="N155" s="4">
        <v>0</v>
      </c>
      <c r="O155" s="17" t="s">
        <v>586</v>
      </c>
      <c r="P155" s="17" t="s">
        <v>263</v>
      </c>
      <c r="Q155" s="50" t="s">
        <v>587</v>
      </c>
      <c r="R155" s="51" t="s">
        <v>37</v>
      </c>
      <c r="S155" s="52" t="s">
        <v>588</v>
      </c>
      <c r="T155" s="17" t="s">
        <v>46</v>
      </c>
      <c r="U155" s="10">
        <v>1.008</v>
      </c>
      <c r="V155" s="10">
        <v>1.0129999999999999</v>
      </c>
      <c r="W155" s="11">
        <v>0.25</v>
      </c>
      <c r="X155" s="11">
        <v>0.75</v>
      </c>
      <c r="Y155" s="11">
        <f t="shared" si="12"/>
        <v>1.0117499999999999</v>
      </c>
      <c r="Z155" s="11" t="s">
        <v>33</v>
      </c>
      <c r="AA155" s="11" t="s">
        <v>33</v>
      </c>
      <c r="AC155" s="57" t="s">
        <v>95</v>
      </c>
      <c r="AD155" s="57" t="s">
        <v>96</v>
      </c>
      <c r="AE155" s="54" t="s">
        <v>97</v>
      </c>
      <c r="AF155" s="55" t="s">
        <v>37</v>
      </c>
      <c r="AG155" s="56" t="s">
        <v>98</v>
      </c>
      <c r="AH155" s="57" t="s">
        <v>46</v>
      </c>
      <c r="AI155" s="59">
        <v>0</v>
      </c>
      <c r="AJ155" s="59" t="s">
        <v>34</v>
      </c>
      <c r="AK155" s="60">
        <v>167</v>
      </c>
      <c r="AM155" s="57" t="s">
        <v>589</v>
      </c>
      <c r="AN155" s="54" t="s">
        <v>358</v>
      </c>
      <c r="AO155" s="55" t="s">
        <v>37</v>
      </c>
      <c r="AP155" s="56" t="s">
        <v>359</v>
      </c>
      <c r="AQ155" s="57" t="s">
        <v>46</v>
      </c>
      <c r="AR155" s="58">
        <v>1635961.04</v>
      </c>
    </row>
    <row r="156" spans="1:44" ht="14.4">
      <c r="A156" s="35" t="s">
        <v>95</v>
      </c>
      <c r="B156" s="35" t="s">
        <v>96</v>
      </c>
      <c r="C156" s="36" t="s">
        <v>97</v>
      </c>
      <c r="D156" s="37" t="s">
        <v>37</v>
      </c>
      <c r="E156" s="38" t="s">
        <v>98</v>
      </c>
      <c r="F156" s="35" t="s">
        <v>46</v>
      </c>
      <c r="K156" s="412">
        <f t="shared" si="15"/>
        <v>0</v>
      </c>
      <c r="L156" s="417">
        <v>0</v>
      </c>
      <c r="M156" s="417">
        <v>70</v>
      </c>
      <c r="N156" s="4">
        <v>0</v>
      </c>
      <c r="O156" s="17" t="s">
        <v>253</v>
      </c>
      <c r="P156" s="17" t="s">
        <v>253</v>
      </c>
      <c r="Q156" s="18" t="s">
        <v>254</v>
      </c>
      <c r="R156" s="19" t="s">
        <v>24</v>
      </c>
      <c r="S156" s="20" t="s">
        <v>496</v>
      </c>
      <c r="T156" s="21" t="s">
        <v>26</v>
      </c>
      <c r="U156" s="10">
        <v>1.0820000000000001</v>
      </c>
      <c r="V156" s="10">
        <v>1.0580000000000001</v>
      </c>
      <c r="W156" s="11">
        <v>0.25</v>
      </c>
      <c r="X156" s="11">
        <v>0.75</v>
      </c>
      <c r="Y156" s="11">
        <f t="shared" si="12"/>
        <v>1.0640000000000001</v>
      </c>
      <c r="Z156" s="11" t="s">
        <v>33</v>
      </c>
      <c r="AA156" s="11" t="s">
        <v>33</v>
      </c>
      <c r="AC156" s="57" t="s">
        <v>106</v>
      </c>
      <c r="AD156" s="57" t="s">
        <v>107</v>
      </c>
      <c r="AE156" s="54" t="s">
        <v>108</v>
      </c>
      <c r="AF156" s="55" t="s">
        <v>37</v>
      </c>
      <c r="AG156" s="56" t="s">
        <v>109</v>
      </c>
      <c r="AH156" s="57" t="s">
        <v>46</v>
      </c>
      <c r="AI156" s="59">
        <v>0</v>
      </c>
      <c r="AJ156" s="59" t="s">
        <v>34</v>
      </c>
      <c r="AK156" s="60">
        <v>135</v>
      </c>
      <c r="AM156" s="57" t="s">
        <v>590</v>
      </c>
      <c r="AN156" s="54" t="s">
        <v>376</v>
      </c>
      <c r="AO156" s="55" t="s">
        <v>37</v>
      </c>
      <c r="AP156" s="56" t="s">
        <v>377</v>
      </c>
      <c r="AQ156" s="57" t="s">
        <v>46</v>
      </c>
      <c r="AR156" s="58">
        <v>1288626.6499999999</v>
      </c>
    </row>
    <row r="157" spans="1:44" ht="14.4">
      <c r="A157" s="35" t="s">
        <v>106</v>
      </c>
      <c r="B157" s="35" t="s">
        <v>107</v>
      </c>
      <c r="C157" s="36" t="s">
        <v>108</v>
      </c>
      <c r="D157" s="37" t="s">
        <v>37</v>
      </c>
      <c r="E157" s="38" t="s">
        <v>109</v>
      </c>
      <c r="F157" s="35" t="s">
        <v>46</v>
      </c>
      <c r="K157" s="412">
        <f t="shared" si="15"/>
        <v>0</v>
      </c>
      <c r="L157" s="417">
        <v>0</v>
      </c>
      <c r="M157" s="417">
        <v>21.5</v>
      </c>
      <c r="N157" s="4">
        <v>0</v>
      </c>
      <c r="O157" s="17" t="s">
        <v>591</v>
      </c>
      <c r="P157" s="17" t="s">
        <v>36</v>
      </c>
      <c r="Q157" s="50" t="s">
        <v>592</v>
      </c>
      <c r="R157" s="51" t="s">
        <v>37</v>
      </c>
      <c r="S157" s="52" t="s">
        <v>593</v>
      </c>
      <c r="T157" s="17" t="s">
        <v>46</v>
      </c>
      <c r="U157" s="10" t="s">
        <v>42</v>
      </c>
      <c r="V157" s="10" t="s">
        <v>42</v>
      </c>
      <c r="W157" s="11">
        <v>0.25</v>
      </c>
      <c r="X157" s="11">
        <v>0.75</v>
      </c>
      <c r="Y157" s="11">
        <f t="shared" si="12"/>
        <v>1</v>
      </c>
      <c r="Z157" s="11" t="s">
        <v>33</v>
      </c>
      <c r="AA157" s="11" t="s">
        <v>33</v>
      </c>
      <c r="AC157" s="57" t="s">
        <v>114</v>
      </c>
      <c r="AD157" s="57" t="s">
        <v>36</v>
      </c>
      <c r="AE157" s="54" t="s">
        <v>115</v>
      </c>
      <c r="AF157" s="55" t="s">
        <v>37</v>
      </c>
      <c r="AG157" s="56" t="s">
        <v>116</v>
      </c>
      <c r="AH157" s="57" t="s">
        <v>46</v>
      </c>
      <c r="AI157" s="59">
        <v>0</v>
      </c>
      <c r="AJ157" s="59" t="s">
        <v>577</v>
      </c>
      <c r="AK157" s="60">
        <v>184</v>
      </c>
      <c r="AM157" s="57" t="s">
        <v>594</v>
      </c>
      <c r="AN157" s="54" t="s">
        <v>381</v>
      </c>
      <c r="AO157" s="55" t="s">
        <v>37</v>
      </c>
      <c r="AP157" s="56" t="s">
        <v>382</v>
      </c>
      <c r="AQ157" s="57" t="s">
        <v>46</v>
      </c>
      <c r="AR157" s="58">
        <v>702645.02</v>
      </c>
    </row>
    <row r="158" spans="1:44" ht="14.4">
      <c r="A158" s="35" t="s">
        <v>114</v>
      </c>
      <c r="B158" s="35" t="s">
        <v>36</v>
      </c>
      <c r="C158" s="36" t="s">
        <v>115</v>
      </c>
      <c r="D158" s="37" t="s">
        <v>37</v>
      </c>
      <c r="E158" s="38" t="s">
        <v>116</v>
      </c>
      <c r="F158" s="35" t="s">
        <v>46</v>
      </c>
      <c r="K158" s="412">
        <f t="shared" si="15"/>
        <v>0</v>
      </c>
      <c r="L158" s="417">
        <v>0</v>
      </c>
      <c r="M158" s="417">
        <v>0</v>
      </c>
      <c r="N158" s="4">
        <v>0</v>
      </c>
      <c r="O158" s="24" t="s">
        <v>213</v>
      </c>
      <c r="P158" s="17" t="s">
        <v>36</v>
      </c>
      <c r="Q158" s="50" t="s">
        <v>37</v>
      </c>
      <c r="R158" s="51" t="s">
        <v>214</v>
      </c>
      <c r="S158" s="52" t="s">
        <v>215</v>
      </c>
      <c r="T158" s="17" t="s">
        <v>32</v>
      </c>
      <c r="U158" s="10">
        <v>1.0640000000000001</v>
      </c>
      <c r="V158" s="10" t="s">
        <v>42</v>
      </c>
      <c r="W158" s="11">
        <v>0.25</v>
      </c>
      <c r="X158" s="11">
        <v>0.75</v>
      </c>
      <c r="Y158" s="11">
        <f t="shared" si="12"/>
        <v>1.016</v>
      </c>
      <c r="Z158" s="11" t="s">
        <v>33</v>
      </c>
      <c r="AA158" s="11" t="s">
        <v>33</v>
      </c>
      <c r="AC158" s="57" t="s">
        <v>121</v>
      </c>
      <c r="AD158" s="57" t="s">
        <v>36</v>
      </c>
      <c r="AE158" s="54" t="s">
        <v>122</v>
      </c>
      <c r="AF158" s="55" t="s">
        <v>37</v>
      </c>
      <c r="AG158" s="56" t="s">
        <v>123</v>
      </c>
      <c r="AH158" s="57" t="s">
        <v>46</v>
      </c>
      <c r="AI158" s="59">
        <v>2</v>
      </c>
      <c r="AJ158" s="59" t="s">
        <v>34</v>
      </c>
      <c r="AK158" s="60">
        <v>277</v>
      </c>
      <c r="AM158" s="57" t="s">
        <v>595</v>
      </c>
      <c r="AN158" s="54" t="s">
        <v>393</v>
      </c>
      <c r="AO158" s="55" t="s">
        <v>37</v>
      </c>
      <c r="AP158" s="56" t="s">
        <v>394</v>
      </c>
      <c r="AQ158" s="57" t="s">
        <v>46</v>
      </c>
      <c r="AR158" s="58">
        <v>1938213.78</v>
      </c>
    </row>
    <row r="159" spans="1:44" ht="14.4">
      <c r="A159" s="35" t="s">
        <v>121</v>
      </c>
      <c r="B159" s="35" t="s">
        <v>36</v>
      </c>
      <c r="C159" s="36" t="s">
        <v>122</v>
      </c>
      <c r="D159" s="37" t="s">
        <v>37</v>
      </c>
      <c r="E159" s="38" t="s">
        <v>123</v>
      </c>
      <c r="F159" s="35" t="s">
        <v>46</v>
      </c>
      <c r="K159" s="412">
        <f t="shared" si="15"/>
        <v>0</v>
      </c>
      <c r="L159" s="417">
        <v>0</v>
      </c>
      <c r="M159" s="417">
        <v>178.5</v>
      </c>
      <c r="N159" s="4">
        <v>0</v>
      </c>
      <c r="O159" s="17" t="s">
        <v>596</v>
      </c>
      <c r="P159" s="17" t="s">
        <v>36</v>
      </c>
      <c r="Q159" s="50" t="s">
        <v>597</v>
      </c>
      <c r="R159" s="51" t="s">
        <v>37</v>
      </c>
      <c r="S159" s="52" t="s">
        <v>598</v>
      </c>
      <c r="T159" s="17" t="s">
        <v>46</v>
      </c>
      <c r="U159" s="10">
        <v>1.032</v>
      </c>
      <c r="V159" s="10">
        <v>1.0860000000000001</v>
      </c>
      <c r="W159" s="11">
        <v>0.25</v>
      </c>
      <c r="X159" s="11">
        <v>0.75</v>
      </c>
      <c r="Y159" s="11">
        <f t="shared" si="12"/>
        <v>1.0725</v>
      </c>
      <c r="Z159" s="11" t="s">
        <v>33</v>
      </c>
      <c r="AA159" s="11" t="s">
        <v>33</v>
      </c>
      <c r="AC159" s="57" t="s">
        <v>149</v>
      </c>
      <c r="AD159" s="57" t="s">
        <v>150</v>
      </c>
      <c r="AE159" s="54" t="s">
        <v>151</v>
      </c>
      <c r="AF159" s="55" t="s">
        <v>37</v>
      </c>
      <c r="AG159" s="56" t="s">
        <v>152</v>
      </c>
      <c r="AH159" s="57" t="s">
        <v>46</v>
      </c>
      <c r="AI159" s="59">
        <v>7</v>
      </c>
      <c r="AJ159" s="59" t="s">
        <v>34</v>
      </c>
      <c r="AK159" s="60">
        <v>567</v>
      </c>
      <c r="AM159" s="57" t="s">
        <v>599</v>
      </c>
      <c r="AN159" s="54" t="s">
        <v>437</v>
      </c>
      <c r="AO159" s="55" t="s">
        <v>37</v>
      </c>
      <c r="AP159" s="56" t="s">
        <v>438</v>
      </c>
      <c r="AQ159" s="57" t="s">
        <v>46</v>
      </c>
      <c r="AR159" s="58">
        <v>4401787.55</v>
      </c>
    </row>
    <row r="160" spans="1:44" ht="14.4">
      <c r="A160" s="35" t="s">
        <v>149</v>
      </c>
      <c r="B160" s="35" t="s">
        <v>150</v>
      </c>
      <c r="C160" s="36" t="s">
        <v>151</v>
      </c>
      <c r="D160" s="37" t="s">
        <v>37</v>
      </c>
      <c r="E160" s="38" t="s">
        <v>152</v>
      </c>
      <c r="F160" s="35" t="s">
        <v>46</v>
      </c>
      <c r="K160" s="412">
        <f t="shared" si="15"/>
        <v>0</v>
      </c>
      <c r="L160" s="417">
        <v>0</v>
      </c>
      <c r="M160" s="417">
        <v>0</v>
      </c>
      <c r="N160" s="4">
        <v>0</v>
      </c>
      <c r="O160" s="17" t="s">
        <v>600</v>
      </c>
      <c r="P160" s="17" t="s">
        <v>36</v>
      </c>
      <c r="Q160" s="50" t="s">
        <v>601</v>
      </c>
      <c r="R160" s="51" t="s">
        <v>37</v>
      </c>
      <c r="S160" s="52" t="s">
        <v>602</v>
      </c>
      <c r="T160" s="17" t="s">
        <v>46</v>
      </c>
      <c r="U160" s="10">
        <v>1.046</v>
      </c>
      <c r="V160" s="10">
        <v>1.0620000000000001</v>
      </c>
      <c r="W160" s="11">
        <v>0.25</v>
      </c>
      <c r="X160" s="11">
        <v>0.75</v>
      </c>
      <c r="Y160" s="11">
        <f t="shared" si="12"/>
        <v>1.0580000000000001</v>
      </c>
      <c r="Z160" s="11" t="s">
        <v>33</v>
      </c>
      <c r="AA160" s="11" t="s">
        <v>33</v>
      </c>
      <c r="AC160" s="57" t="s">
        <v>210</v>
      </c>
      <c r="AD160" s="57" t="s">
        <v>36</v>
      </c>
      <c r="AE160" s="54" t="s">
        <v>211</v>
      </c>
      <c r="AF160" s="55" t="s">
        <v>37</v>
      </c>
      <c r="AG160" s="56" t="s">
        <v>212</v>
      </c>
      <c r="AH160" s="57" t="s">
        <v>46</v>
      </c>
      <c r="AI160" s="59">
        <v>1</v>
      </c>
      <c r="AJ160" s="59" t="s">
        <v>34</v>
      </c>
      <c r="AK160" s="60">
        <v>203</v>
      </c>
      <c r="AM160" s="57" t="s">
        <v>603</v>
      </c>
      <c r="AN160" s="54" t="s">
        <v>443</v>
      </c>
      <c r="AO160" s="55" t="s">
        <v>37</v>
      </c>
      <c r="AP160" s="56" t="s">
        <v>444</v>
      </c>
      <c r="AQ160" s="57" t="s">
        <v>46</v>
      </c>
      <c r="AR160" s="58">
        <v>2367992.86</v>
      </c>
    </row>
    <row r="161" spans="1:44" ht="14.4">
      <c r="A161" s="35" t="s">
        <v>210</v>
      </c>
      <c r="B161" s="35" t="s">
        <v>36</v>
      </c>
      <c r="C161" s="36" t="s">
        <v>211</v>
      </c>
      <c r="D161" s="37" t="s">
        <v>37</v>
      </c>
      <c r="E161" s="38" t="s">
        <v>212</v>
      </c>
      <c r="F161" s="35" t="s">
        <v>46</v>
      </c>
      <c r="K161" s="412">
        <f t="shared" si="15"/>
        <v>0</v>
      </c>
      <c r="L161" s="417">
        <v>0</v>
      </c>
      <c r="M161" s="417">
        <v>0</v>
      </c>
      <c r="N161" s="4">
        <v>0</v>
      </c>
      <c r="O161" s="17" t="s">
        <v>604</v>
      </c>
      <c r="P161" s="17" t="s">
        <v>36</v>
      </c>
      <c r="Q161" s="50" t="s">
        <v>605</v>
      </c>
      <c r="R161" s="51" t="s">
        <v>37</v>
      </c>
      <c r="S161" s="52" t="s">
        <v>606</v>
      </c>
      <c r="T161" s="17" t="s">
        <v>46</v>
      </c>
      <c r="U161" s="10">
        <v>1.0469999999999999</v>
      </c>
      <c r="V161" s="10">
        <v>1.016</v>
      </c>
      <c r="W161" s="11">
        <v>0.25</v>
      </c>
      <c r="X161" s="11">
        <v>0.75</v>
      </c>
      <c r="Y161" s="11">
        <f t="shared" si="12"/>
        <v>1.0237499999999999</v>
      </c>
      <c r="Z161" s="11" t="s">
        <v>33</v>
      </c>
      <c r="AA161" s="11" t="s">
        <v>33</v>
      </c>
      <c r="AC161" s="57" t="s">
        <v>262</v>
      </c>
      <c r="AD161" s="57" t="s">
        <v>263</v>
      </c>
      <c r="AE161" s="54" t="s">
        <v>264</v>
      </c>
      <c r="AF161" s="55" t="s">
        <v>37</v>
      </c>
      <c r="AG161" s="56" t="s">
        <v>265</v>
      </c>
      <c r="AH161" s="57" t="s">
        <v>46</v>
      </c>
      <c r="AI161" s="59">
        <v>0</v>
      </c>
      <c r="AJ161" s="59" t="s">
        <v>34</v>
      </c>
      <c r="AK161" s="60">
        <v>46</v>
      </c>
      <c r="AM161" s="57" t="s">
        <v>607</v>
      </c>
      <c r="AN161" s="54" t="s">
        <v>454</v>
      </c>
      <c r="AO161" s="55" t="s">
        <v>37</v>
      </c>
      <c r="AP161" s="56" t="s">
        <v>455</v>
      </c>
      <c r="AQ161" s="57" t="s">
        <v>46</v>
      </c>
      <c r="AR161" s="58">
        <v>1634855.21</v>
      </c>
    </row>
    <row r="162" spans="1:44" ht="14.4">
      <c r="A162" s="35" t="s">
        <v>262</v>
      </c>
      <c r="B162" s="35" t="s">
        <v>263</v>
      </c>
      <c r="C162" s="36" t="s">
        <v>264</v>
      </c>
      <c r="D162" s="37" t="s">
        <v>37</v>
      </c>
      <c r="E162" s="38" t="s">
        <v>265</v>
      </c>
      <c r="F162" s="35" t="s">
        <v>46</v>
      </c>
      <c r="K162" s="412">
        <f t="shared" si="15"/>
        <v>0</v>
      </c>
      <c r="L162" s="417">
        <v>0</v>
      </c>
      <c r="M162" s="417">
        <v>5.5</v>
      </c>
      <c r="N162" s="4">
        <v>0</v>
      </c>
      <c r="O162" s="17" t="s">
        <v>500</v>
      </c>
      <c r="P162" s="17" t="s">
        <v>500</v>
      </c>
      <c r="Q162" s="18" t="s">
        <v>501</v>
      </c>
      <c r="R162" s="19" t="s">
        <v>24</v>
      </c>
      <c r="S162" s="20" t="s">
        <v>502</v>
      </c>
      <c r="T162" s="21" t="s">
        <v>26</v>
      </c>
      <c r="U162" s="10">
        <v>1.048</v>
      </c>
      <c r="V162" s="10">
        <v>1.0660000000000001</v>
      </c>
      <c r="W162" s="11">
        <v>0.25</v>
      </c>
      <c r="X162" s="11">
        <v>0.75</v>
      </c>
      <c r="Y162" s="11">
        <f t="shared" si="12"/>
        <v>1.0615000000000001</v>
      </c>
      <c r="Z162" s="11" t="s">
        <v>33</v>
      </c>
      <c r="AA162" s="11" t="s">
        <v>33</v>
      </c>
      <c r="AC162" s="57" t="s">
        <v>306</v>
      </c>
      <c r="AD162" s="57" t="s">
        <v>307</v>
      </c>
      <c r="AE162" s="54" t="s">
        <v>308</v>
      </c>
      <c r="AF162" s="55" t="s">
        <v>37</v>
      </c>
      <c r="AG162" s="56" t="s">
        <v>309</v>
      </c>
      <c r="AH162" s="57" t="s">
        <v>46</v>
      </c>
      <c r="AI162" s="59">
        <v>0</v>
      </c>
      <c r="AJ162" s="59" t="s">
        <v>34</v>
      </c>
      <c r="AK162" s="60">
        <v>597</v>
      </c>
      <c r="AM162" s="57" t="s">
        <v>608</v>
      </c>
      <c r="AN162" s="54" t="s">
        <v>460</v>
      </c>
      <c r="AO162" s="55" t="s">
        <v>37</v>
      </c>
      <c r="AP162" s="56" t="s">
        <v>461</v>
      </c>
      <c r="AQ162" s="57" t="s">
        <v>46</v>
      </c>
      <c r="AR162" s="58">
        <v>13655692.35</v>
      </c>
    </row>
    <row r="163" spans="1:44" ht="14.4">
      <c r="A163" s="35" t="s">
        <v>306</v>
      </c>
      <c r="B163" s="35" t="s">
        <v>307</v>
      </c>
      <c r="C163" s="36" t="s">
        <v>308</v>
      </c>
      <c r="D163" s="37" t="s">
        <v>37</v>
      </c>
      <c r="E163" s="38" t="s">
        <v>309</v>
      </c>
      <c r="F163" s="35" t="s">
        <v>46</v>
      </c>
      <c r="K163" s="412">
        <f t="shared" si="15"/>
        <v>0</v>
      </c>
      <c r="L163" s="417">
        <v>0</v>
      </c>
      <c r="M163" s="417">
        <v>352</v>
      </c>
      <c r="N163" s="4">
        <v>0</v>
      </c>
      <c r="O163" s="17" t="s">
        <v>609</v>
      </c>
      <c r="P163" s="17" t="s">
        <v>36</v>
      </c>
      <c r="Q163" s="50" t="s">
        <v>610</v>
      </c>
      <c r="R163" s="51" t="s">
        <v>37</v>
      </c>
      <c r="S163" s="52" t="s">
        <v>611</v>
      </c>
      <c r="T163" s="17" t="s">
        <v>46</v>
      </c>
      <c r="U163" s="10">
        <v>1.105</v>
      </c>
      <c r="V163" s="10">
        <v>1.016</v>
      </c>
      <c r="W163" s="11">
        <v>0.25</v>
      </c>
      <c r="X163" s="11">
        <v>0.75</v>
      </c>
      <c r="Y163" s="11">
        <f t="shared" si="12"/>
        <v>1.0382500000000001</v>
      </c>
      <c r="Z163" s="11" t="s">
        <v>33</v>
      </c>
      <c r="AA163" s="11" t="s">
        <v>33</v>
      </c>
      <c r="AC163" s="57" t="s">
        <v>313</v>
      </c>
      <c r="AD163" s="57" t="s">
        <v>36</v>
      </c>
      <c r="AE163" s="54" t="s">
        <v>314</v>
      </c>
      <c r="AF163" s="55" t="s">
        <v>37</v>
      </c>
      <c r="AG163" s="56" t="s">
        <v>315</v>
      </c>
      <c r="AH163" s="57" t="s">
        <v>46</v>
      </c>
      <c r="AI163" s="59">
        <v>1</v>
      </c>
      <c r="AJ163" s="59" t="s">
        <v>34</v>
      </c>
      <c r="AK163" s="60">
        <v>646</v>
      </c>
      <c r="AM163" s="53" t="s">
        <v>612</v>
      </c>
      <c r="AN163" s="54" t="s">
        <v>467</v>
      </c>
      <c r="AO163" s="55" t="s">
        <v>37</v>
      </c>
      <c r="AP163" s="56" t="s">
        <v>468</v>
      </c>
      <c r="AQ163" s="57" t="s">
        <v>46</v>
      </c>
      <c r="AR163" s="58">
        <v>3212051.54</v>
      </c>
    </row>
    <row r="164" spans="1:44" ht="14.4">
      <c r="A164" s="35" t="s">
        <v>313</v>
      </c>
      <c r="B164" s="35" t="s">
        <v>36</v>
      </c>
      <c r="C164" s="36" t="s">
        <v>314</v>
      </c>
      <c r="D164" s="37" t="s">
        <v>37</v>
      </c>
      <c r="E164" s="38" t="s">
        <v>315</v>
      </c>
      <c r="F164" s="35" t="s">
        <v>46</v>
      </c>
      <c r="K164" s="412">
        <f t="shared" si="15"/>
        <v>0</v>
      </c>
      <c r="L164" s="417">
        <v>0</v>
      </c>
      <c r="M164" s="417">
        <v>169</v>
      </c>
      <c r="N164" s="4">
        <v>0</v>
      </c>
      <c r="O164" s="17" t="s">
        <v>129</v>
      </c>
      <c r="P164" s="17" t="s">
        <v>129</v>
      </c>
      <c r="Q164" s="50" t="s">
        <v>130</v>
      </c>
      <c r="R164" s="51" t="s">
        <v>24</v>
      </c>
      <c r="S164" s="52" t="s">
        <v>506</v>
      </c>
      <c r="T164" s="17" t="s">
        <v>26</v>
      </c>
      <c r="U164" s="10">
        <v>1.075</v>
      </c>
      <c r="V164" s="10">
        <v>1.081</v>
      </c>
      <c r="W164" s="11">
        <v>0.25</v>
      </c>
      <c r="X164" s="11">
        <v>0.75</v>
      </c>
      <c r="Y164" s="11">
        <f t="shared" si="12"/>
        <v>1.0794999999999999</v>
      </c>
      <c r="Z164" s="11" t="s">
        <v>33</v>
      </c>
      <c r="AA164" s="11" t="s">
        <v>33</v>
      </c>
      <c r="AC164" s="57" t="s">
        <v>348</v>
      </c>
      <c r="AD164" s="57" t="s">
        <v>36</v>
      </c>
      <c r="AE164" s="54" t="s">
        <v>349</v>
      </c>
      <c r="AF164" s="55" t="s">
        <v>37</v>
      </c>
      <c r="AG164" s="56" t="s">
        <v>350</v>
      </c>
      <c r="AH164" s="57" t="s">
        <v>46</v>
      </c>
      <c r="AI164" s="59">
        <v>3</v>
      </c>
      <c r="AJ164" s="59" t="s">
        <v>34</v>
      </c>
      <c r="AK164" s="60">
        <v>402</v>
      </c>
      <c r="AM164" s="57" t="s">
        <v>613</v>
      </c>
      <c r="AN164" s="54" t="s">
        <v>472</v>
      </c>
      <c r="AO164" s="55" t="s">
        <v>37</v>
      </c>
      <c r="AP164" s="56" t="s">
        <v>473</v>
      </c>
      <c r="AQ164" s="57" t="s">
        <v>46</v>
      </c>
      <c r="AR164" s="58">
        <v>3121164.32</v>
      </c>
    </row>
    <row r="165" spans="1:44" ht="14.4">
      <c r="A165" s="35" t="s">
        <v>614</v>
      </c>
      <c r="B165" s="35" t="s">
        <v>107</v>
      </c>
      <c r="C165" s="37">
        <v>581</v>
      </c>
      <c r="D165" s="37" t="s">
        <v>37</v>
      </c>
      <c r="E165" s="38" t="s">
        <v>615</v>
      </c>
      <c r="F165" s="35" t="s">
        <v>46</v>
      </c>
      <c r="K165" s="412">
        <f t="shared" si="15"/>
        <v>0</v>
      </c>
      <c r="L165" s="417">
        <v>0</v>
      </c>
      <c r="M165" s="417">
        <v>70</v>
      </c>
      <c r="N165" s="4">
        <v>0</v>
      </c>
      <c r="O165" s="17" t="s">
        <v>616</v>
      </c>
      <c r="P165" s="17" t="s">
        <v>129</v>
      </c>
      <c r="Q165" s="50" t="s">
        <v>617</v>
      </c>
      <c r="R165" s="51" t="s">
        <v>37</v>
      </c>
      <c r="S165" s="52" t="s">
        <v>618</v>
      </c>
      <c r="T165" s="17" t="s">
        <v>46</v>
      </c>
      <c r="U165" s="10">
        <v>1.133</v>
      </c>
      <c r="V165" s="10">
        <v>1.0760000000000001</v>
      </c>
      <c r="W165" s="11">
        <v>0.25</v>
      </c>
      <c r="X165" s="11">
        <v>0.75</v>
      </c>
      <c r="Y165" s="11">
        <f t="shared" si="12"/>
        <v>1.0902500000000002</v>
      </c>
      <c r="Z165" s="11" t="s">
        <v>33</v>
      </c>
      <c r="AA165" s="11" t="s">
        <v>33</v>
      </c>
      <c r="AC165" s="57" t="s">
        <v>354</v>
      </c>
      <c r="AD165" s="57" t="s">
        <v>263</v>
      </c>
      <c r="AE165" s="54" t="s">
        <v>355</v>
      </c>
      <c r="AF165" s="55" t="s">
        <v>37</v>
      </c>
      <c r="AG165" s="56" t="s">
        <v>356</v>
      </c>
      <c r="AH165" s="57" t="s">
        <v>46</v>
      </c>
      <c r="AI165" s="59">
        <v>0</v>
      </c>
      <c r="AJ165" s="59" t="s">
        <v>577</v>
      </c>
      <c r="AK165" s="60">
        <v>409</v>
      </c>
      <c r="AM165" s="57" t="s">
        <v>497</v>
      </c>
      <c r="AN165" s="54" t="s">
        <v>498</v>
      </c>
      <c r="AO165" s="55" t="s">
        <v>37</v>
      </c>
      <c r="AP165" s="56" t="s">
        <v>499</v>
      </c>
      <c r="AQ165" s="57" t="s">
        <v>46</v>
      </c>
      <c r="AR165" s="58">
        <v>1988775.77</v>
      </c>
    </row>
    <row r="166" spans="1:44" ht="14.4">
      <c r="A166" s="35" t="s">
        <v>348</v>
      </c>
      <c r="B166" s="35" t="s">
        <v>36</v>
      </c>
      <c r="C166" s="36" t="s">
        <v>349</v>
      </c>
      <c r="D166" s="37" t="s">
        <v>37</v>
      </c>
      <c r="E166" s="38" t="s">
        <v>350</v>
      </c>
      <c r="F166" s="35" t="s">
        <v>46</v>
      </c>
      <c r="K166" s="412">
        <f t="shared" si="15"/>
        <v>0</v>
      </c>
      <c r="L166" s="417">
        <v>0</v>
      </c>
      <c r="M166" s="417">
        <v>399</v>
      </c>
      <c r="N166" s="4">
        <v>0</v>
      </c>
      <c r="O166" s="17" t="s">
        <v>619</v>
      </c>
      <c r="P166" s="17" t="s">
        <v>129</v>
      </c>
      <c r="Q166" s="50" t="s">
        <v>620</v>
      </c>
      <c r="R166" s="51" t="s">
        <v>37</v>
      </c>
      <c r="S166" s="52" t="s">
        <v>621</v>
      </c>
      <c r="T166" s="17" t="s">
        <v>46</v>
      </c>
      <c r="U166" s="10">
        <v>1.0840000000000001</v>
      </c>
      <c r="V166" s="10">
        <v>1.048</v>
      </c>
      <c r="W166" s="11">
        <v>0.25</v>
      </c>
      <c r="X166" s="11">
        <v>0.75</v>
      </c>
      <c r="Y166" s="11">
        <f t="shared" si="12"/>
        <v>1.0569999999999999</v>
      </c>
      <c r="Z166" s="11" t="s">
        <v>33</v>
      </c>
      <c r="AA166" s="11" t="s">
        <v>33</v>
      </c>
      <c r="AC166" s="57" t="s">
        <v>357</v>
      </c>
      <c r="AD166" s="57" t="s">
        <v>107</v>
      </c>
      <c r="AE166" s="54" t="s">
        <v>358</v>
      </c>
      <c r="AF166" s="55" t="s">
        <v>37</v>
      </c>
      <c r="AG166" s="56" t="s">
        <v>359</v>
      </c>
      <c r="AH166" s="57" t="s">
        <v>46</v>
      </c>
      <c r="AI166" s="59">
        <v>1</v>
      </c>
      <c r="AJ166" s="59" t="s">
        <v>34</v>
      </c>
      <c r="AK166" s="60">
        <v>200</v>
      </c>
      <c r="AM166" s="57" t="s">
        <v>503</v>
      </c>
      <c r="AN166" s="54" t="s">
        <v>504</v>
      </c>
      <c r="AO166" s="55" t="s">
        <v>37</v>
      </c>
      <c r="AP166" s="56" t="s">
        <v>505</v>
      </c>
      <c r="AQ166" s="57" t="s">
        <v>46</v>
      </c>
      <c r="AR166" s="58">
        <v>9743269.6400000006</v>
      </c>
    </row>
    <row r="167" spans="1:44" ht="14.4">
      <c r="A167" s="35" t="s">
        <v>354</v>
      </c>
      <c r="B167" s="35" t="s">
        <v>263</v>
      </c>
      <c r="C167" s="36" t="s">
        <v>355</v>
      </c>
      <c r="D167" s="37" t="s">
        <v>37</v>
      </c>
      <c r="E167" s="38" t="s">
        <v>356</v>
      </c>
      <c r="F167" s="35" t="s">
        <v>46</v>
      </c>
      <c r="K167" s="412">
        <f t="shared" si="15"/>
        <v>0</v>
      </c>
      <c r="L167" s="417">
        <v>0</v>
      </c>
      <c r="M167" s="417">
        <v>369</v>
      </c>
      <c r="N167" s="4">
        <v>0</v>
      </c>
      <c r="O167" s="17" t="s">
        <v>622</v>
      </c>
      <c r="P167" s="17" t="s">
        <v>129</v>
      </c>
      <c r="Q167" s="50" t="s">
        <v>623</v>
      </c>
      <c r="R167" s="51" t="s">
        <v>37</v>
      </c>
      <c r="S167" s="52" t="s">
        <v>624</v>
      </c>
      <c r="T167" s="17" t="s">
        <v>46</v>
      </c>
      <c r="U167" s="10">
        <v>1.0589999999999999</v>
      </c>
      <c r="V167" s="10">
        <v>1.0940000000000001</v>
      </c>
      <c r="W167" s="11">
        <v>0.25</v>
      </c>
      <c r="X167" s="11">
        <v>0.75</v>
      </c>
      <c r="Y167" s="11">
        <f t="shared" si="12"/>
        <v>1.08525</v>
      </c>
      <c r="Z167" s="11" t="s">
        <v>33</v>
      </c>
      <c r="AA167" s="11" t="s">
        <v>33</v>
      </c>
      <c r="AC167" s="57" t="s">
        <v>375</v>
      </c>
      <c r="AD167" s="57" t="s">
        <v>107</v>
      </c>
      <c r="AE167" s="54" t="s">
        <v>376</v>
      </c>
      <c r="AF167" s="55" t="s">
        <v>37</v>
      </c>
      <c r="AG167" s="56" t="s">
        <v>377</v>
      </c>
      <c r="AH167" s="57" t="s">
        <v>46</v>
      </c>
      <c r="AI167" s="59">
        <v>0</v>
      </c>
      <c r="AJ167" s="59" t="s">
        <v>34</v>
      </c>
      <c r="AK167" s="60">
        <v>71</v>
      </c>
      <c r="AM167" s="57" t="s">
        <v>625</v>
      </c>
      <c r="AN167" s="54" t="s">
        <v>509</v>
      </c>
      <c r="AO167" s="55" t="s">
        <v>37</v>
      </c>
      <c r="AP167" s="56" t="s">
        <v>510</v>
      </c>
      <c r="AQ167" s="57" t="s">
        <v>46</v>
      </c>
      <c r="AR167" s="58">
        <v>2724862.31</v>
      </c>
    </row>
    <row r="168" spans="1:44" ht="14.4">
      <c r="A168" s="35" t="s">
        <v>357</v>
      </c>
      <c r="B168" s="35" t="s">
        <v>107</v>
      </c>
      <c r="C168" s="36" t="s">
        <v>358</v>
      </c>
      <c r="D168" s="37" t="s">
        <v>37</v>
      </c>
      <c r="E168" s="38" t="s">
        <v>359</v>
      </c>
      <c r="F168" s="35" t="s">
        <v>46</v>
      </c>
      <c r="K168" s="412">
        <f t="shared" si="15"/>
        <v>0</v>
      </c>
      <c r="L168" s="417">
        <v>0</v>
      </c>
      <c r="M168" s="417">
        <v>153</v>
      </c>
      <c r="N168" s="4">
        <v>0</v>
      </c>
      <c r="O168" s="24" t="s">
        <v>512</v>
      </c>
      <c r="P168" s="17" t="s">
        <v>129</v>
      </c>
      <c r="Q168" s="18" t="s">
        <v>130</v>
      </c>
      <c r="R168" s="19" t="s">
        <v>268</v>
      </c>
      <c r="S168" s="20" t="s">
        <v>513</v>
      </c>
      <c r="T168" s="21" t="s">
        <v>32</v>
      </c>
      <c r="U168" s="10">
        <v>1.093</v>
      </c>
      <c r="V168" s="10">
        <v>1.117</v>
      </c>
      <c r="W168" s="11">
        <v>0.25</v>
      </c>
      <c r="X168" s="11">
        <v>0.75</v>
      </c>
      <c r="Y168" s="11">
        <f t="shared" si="12"/>
        <v>1.111</v>
      </c>
      <c r="Z168" s="11" t="s">
        <v>33</v>
      </c>
      <c r="AA168" s="11" t="s">
        <v>33</v>
      </c>
      <c r="AC168" s="57" t="s">
        <v>380</v>
      </c>
      <c r="AD168" s="57" t="s">
        <v>300</v>
      </c>
      <c r="AE168" s="54" t="s">
        <v>381</v>
      </c>
      <c r="AF168" s="55" t="s">
        <v>37</v>
      </c>
      <c r="AG168" s="56" t="s">
        <v>382</v>
      </c>
      <c r="AH168" s="57" t="s">
        <v>46</v>
      </c>
      <c r="AI168" s="59">
        <v>0</v>
      </c>
      <c r="AJ168" s="59" t="s">
        <v>34</v>
      </c>
      <c r="AK168" s="60">
        <v>61</v>
      </c>
      <c r="AM168" s="57" t="s">
        <v>626</v>
      </c>
      <c r="AN168" s="54" t="s">
        <v>515</v>
      </c>
      <c r="AO168" s="55" t="s">
        <v>37</v>
      </c>
      <c r="AP168" s="56" t="s">
        <v>516</v>
      </c>
      <c r="AQ168" s="57" t="s">
        <v>46</v>
      </c>
      <c r="AR168" s="58">
        <v>3942284.7</v>
      </c>
    </row>
    <row r="169" spans="1:44" ht="14.4">
      <c r="A169" s="35" t="s">
        <v>375</v>
      </c>
      <c r="B169" s="35" t="s">
        <v>107</v>
      </c>
      <c r="C169" s="36" t="s">
        <v>376</v>
      </c>
      <c r="D169" s="37" t="s">
        <v>37</v>
      </c>
      <c r="E169" s="38" t="s">
        <v>377</v>
      </c>
      <c r="F169" s="35" t="s">
        <v>46</v>
      </c>
      <c r="K169" s="412">
        <f t="shared" si="15"/>
        <v>0</v>
      </c>
      <c r="L169" s="417">
        <v>0</v>
      </c>
      <c r="M169" s="417">
        <v>12.5</v>
      </c>
      <c r="N169" s="4">
        <v>0</v>
      </c>
      <c r="O169" s="17" t="s">
        <v>519</v>
      </c>
      <c r="P169" s="17" t="s">
        <v>519</v>
      </c>
      <c r="Q169" s="18" t="s">
        <v>520</v>
      </c>
      <c r="R169" s="19" t="s">
        <v>24</v>
      </c>
      <c r="S169" s="20" t="s">
        <v>521</v>
      </c>
      <c r="T169" s="21" t="s">
        <v>26</v>
      </c>
      <c r="U169" s="10">
        <v>1.1859999999999999</v>
      </c>
      <c r="V169" s="10">
        <v>1.139</v>
      </c>
      <c r="W169" s="11">
        <v>0.25</v>
      </c>
      <c r="X169" s="11">
        <v>0.75</v>
      </c>
      <c r="Y169" s="11">
        <f t="shared" si="12"/>
        <v>1.1507499999999999</v>
      </c>
      <c r="Z169" s="11" t="s">
        <v>33</v>
      </c>
      <c r="AA169" s="11" t="s">
        <v>33</v>
      </c>
      <c r="AC169" s="57" t="s">
        <v>392</v>
      </c>
      <c r="AD169" s="57" t="s">
        <v>107</v>
      </c>
      <c r="AE169" s="54" t="s">
        <v>393</v>
      </c>
      <c r="AF169" s="55" t="s">
        <v>37</v>
      </c>
      <c r="AG169" s="56" t="s">
        <v>394</v>
      </c>
      <c r="AH169" s="57" t="s">
        <v>46</v>
      </c>
      <c r="AI169" s="59">
        <v>0</v>
      </c>
      <c r="AJ169" s="59" t="s">
        <v>34</v>
      </c>
      <c r="AK169" s="60">
        <v>158</v>
      </c>
      <c r="AM169" s="57" t="s">
        <v>627</v>
      </c>
      <c r="AN169" s="54" t="s">
        <v>544</v>
      </c>
      <c r="AO169" s="55" t="s">
        <v>37</v>
      </c>
      <c r="AP169" s="56" t="s">
        <v>545</v>
      </c>
      <c r="AQ169" s="57" t="s">
        <v>46</v>
      </c>
      <c r="AR169" s="58">
        <v>663785.34</v>
      </c>
    </row>
    <row r="170" spans="1:44" ht="14.4">
      <c r="A170" s="35" t="s">
        <v>380</v>
      </c>
      <c r="B170" s="35" t="s">
        <v>300</v>
      </c>
      <c r="C170" s="36" t="s">
        <v>381</v>
      </c>
      <c r="D170" s="37" t="s">
        <v>37</v>
      </c>
      <c r="E170" s="38" t="s">
        <v>382</v>
      </c>
      <c r="F170" s="35" t="s">
        <v>46</v>
      </c>
      <c r="K170" s="412">
        <f t="shared" si="15"/>
        <v>0</v>
      </c>
      <c r="L170" s="417">
        <v>0</v>
      </c>
      <c r="M170" s="417">
        <v>54.5</v>
      </c>
      <c r="N170" s="4">
        <v>0</v>
      </c>
      <c r="O170" s="24" t="s">
        <v>220</v>
      </c>
      <c r="P170" s="17" t="s">
        <v>36</v>
      </c>
      <c r="Q170" s="18" t="s">
        <v>37</v>
      </c>
      <c r="R170" s="19" t="s">
        <v>221</v>
      </c>
      <c r="S170" s="20" t="s">
        <v>222</v>
      </c>
      <c r="T170" s="21" t="s">
        <v>32</v>
      </c>
      <c r="U170" s="10">
        <v>1.1499999999999999</v>
      </c>
      <c r="V170" s="10">
        <v>1.145</v>
      </c>
      <c r="W170" s="11">
        <v>0.25</v>
      </c>
      <c r="X170" s="11">
        <v>0.75</v>
      </c>
      <c r="Y170" s="11">
        <f t="shared" si="12"/>
        <v>1.14625</v>
      </c>
      <c r="Z170" s="11" t="s">
        <v>33</v>
      </c>
      <c r="AA170" s="11" t="s">
        <v>33</v>
      </c>
      <c r="AC170" s="57" t="s">
        <v>427</v>
      </c>
      <c r="AD170" s="57" t="s">
        <v>28</v>
      </c>
      <c r="AE170" s="54" t="s">
        <v>428</v>
      </c>
      <c r="AF170" s="55" t="s">
        <v>37</v>
      </c>
      <c r="AG170" s="56" t="s">
        <v>429</v>
      </c>
      <c r="AH170" s="57" t="s">
        <v>46</v>
      </c>
      <c r="AI170" s="59">
        <v>0</v>
      </c>
      <c r="AJ170" s="59" t="s">
        <v>34</v>
      </c>
      <c r="AK170" s="60">
        <v>270</v>
      </c>
      <c r="AM170" s="57" t="s">
        <v>628</v>
      </c>
      <c r="AN170" s="54" t="s">
        <v>554</v>
      </c>
      <c r="AO170" s="55" t="s">
        <v>37</v>
      </c>
      <c r="AP170" s="56" t="s">
        <v>555</v>
      </c>
      <c r="AQ170" s="57" t="s">
        <v>46</v>
      </c>
      <c r="AR170" s="58">
        <v>992502.63</v>
      </c>
    </row>
    <row r="171" spans="1:44" ht="14.4">
      <c r="A171" s="35" t="s">
        <v>392</v>
      </c>
      <c r="B171" s="35" t="s">
        <v>107</v>
      </c>
      <c r="C171" s="36" t="s">
        <v>393</v>
      </c>
      <c r="D171" s="37" t="s">
        <v>37</v>
      </c>
      <c r="E171" s="38" t="s">
        <v>394</v>
      </c>
      <c r="F171" s="35" t="s">
        <v>46</v>
      </c>
      <c r="K171" s="412">
        <f t="shared" si="15"/>
        <v>0</v>
      </c>
      <c r="L171" s="417">
        <v>48</v>
      </c>
      <c r="M171" s="417">
        <v>0</v>
      </c>
      <c r="N171" s="4">
        <v>0</v>
      </c>
      <c r="O171" s="17" t="s">
        <v>522</v>
      </c>
      <c r="P171" s="17" t="s">
        <v>522</v>
      </c>
      <c r="Q171" s="18" t="s">
        <v>523</v>
      </c>
      <c r="R171" s="19" t="s">
        <v>24</v>
      </c>
      <c r="S171" s="20" t="s">
        <v>524</v>
      </c>
      <c r="T171" s="21" t="s">
        <v>26</v>
      </c>
      <c r="U171" s="10">
        <v>1.1859999999999999</v>
      </c>
      <c r="V171" s="10">
        <v>1.1890000000000001</v>
      </c>
      <c r="W171" s="11">
        <v>0.25</v>
      </c>
      <c r="X171" s="11">
        <v>0.75</v>
      </c>
      <c r="Y171" s="11">
        <f t="shared" si="12"/>
        <v>1.18825</v>
      </c>
      <c r="Z171" s="11" t="s">
        <v>33</v>
      </c>
      <c r="AA171" s="11" t="s">
        <v>33</v>
      </c>
      <c r="AC171" s="57" t="s">
        <v>436</v>
      </c>
      <c r="AD171" s="57" t="s">
        <v>300</v>
      </c>
      <c r="AE171" s="54" t="s">
        <v>437</v>
      </c>
      <c r="AF171" s="55" t="s">
        <v>37</v>
      </c>
      <c r="AG171" s="56" t="s">
        <v>438</v>
      </c>
      <c r="AH171" s="57" t="s">
        <v>46</v>
      </c>
      <c r="AI171" s="59">
        <v>0</v>
      </c>
      <c r="AJ171" s="59" t="s">
        <v>34</v>
      </c>
      <c r="AK171" s="60">
        <v>531</v>
      </c>
      <c r="AM171" s="57" t="s">
        <v>629</v>
      </c>
      <c r="AN171" s="54" t="s">
        <v>564</v>
      </c>
      <c r="AO171" s="55" t="s">
        <v>37</v>
      </c>
      <c r="AP171" s="56" t="s">
        <v>565</v>
      </c>
      <c r="AQ171" s="57" t="s">
        <v>46</v>
      </c>
      <c r="AR171" s="58">
        <v>608378.12</v>
      </c>
    </row>
    <row r="172" spans="1:44" ht="14.4">
      <c r="A172" s="35" t="s">
        <v>427</v>
      </c>
      <c r="B172" s="35" t="s">
        <v>28</v>
      </c>
      <c r="C172" s="36" t="s">
        <v>428</v>
      </c>
      <c r="D172" s="37" t="s">
        <v>37</v>
      </c>
      <c r="E172" s="38" t="s">
        <v>429</v>
      </c>
      <c r="F172" s="35" t="s">
        <v>46</v>
      </c>
      <c r="K172" s="412">
        <f t="shared" si="15"/>
        <v>0</v>
      </c>
      <c r="L172" s="417">
        <v>0</v>
      </c>
      <c r="M172" s="417">
        <v>279</v>
      </c>
      <c r="N172" s="4">
        <v>0</v>
      </c>
      <c r="O172" s="24" t="s">
        <v>55</v>
      </c>
      <c r="P172" s="17" t="s">
        <v>36</v>
      </c>
      <c r="Q172" s="50" t="s">
        <v>37</v>
      </c>
      <c r="R172" s="51" t="s">
        <v>56</v>
      </c>
      <c r="S172" s="52" t="s">
        <v>57</v>
      </c>
      <c r="T172" s="17" t="s">
        <v>32</v>
      </c>
      <c r="U172" s="10">
        <v>1.0660000000000001</v>
      </c>
      <c r="V172" s="10">
        <v>1.018</v>
      </c>
      <c r="W172" s="11">
        <v>0.25</v>
      </c>
      <c r="X172" s="11">
        <v>0.75</v>
      </c>
      <c r="Y172" s="11">
        <f t="shared" si="12"/>
        <v>1.03</v>
      </c>
      <c r="Z172" s="11" t="s">
        <v>33</v>
      </c>
      <c r="AA172" s="11" t="s">
        <v>33</v>
      </c>
      <c r="AC172" s="57" t="s">
        <v>442</v>
      </c>
      <c r="AD172" s="57" t="s">
        <v>36</v>
      </c>
      <c r="AE172" s="54" t="s">
        <v>443</v>
      </c>
      <c r="AF172" s="55" t="s">
        <v>37</v>
      </c>
      <c r="AG172" s="56" t="s">
        <v>444</v>
      </c>
      <c r="AH172" s="57" t="s">
        <v>46</v>
      </c>
      <c r="AI172" s="59">
        <v>2</v>
      </c>
      <c r="AJ172" s="59" t="s">
        <v>34</v>
      </c>
      <c r="AK172" s="60">
        <v>189</v>
      </c>
      <c r="AM172" s="57" t="s">
        <v>630</v>
      </c>
      <c r="AN172" s="54" t="s">
        <v>573</v>
      </c>
      <c r="AO172" s="55" t="s">
        <v>37</v>
      </c>
      <c r="AP172" s="56" t="s">
        <v>574</v>
      </c>
      <c r="AQ172" s="57" t="s">
        <v>46</v>
      </c>
      <c r="AR172" s="58">
        <v>1948783.61</v>
      </c>
    </row>
    <row r="173" spans="1:44" ht="14.4">
      <c r="A173" s="35" t="s">
        <v>436</v>
      </c>
      <c r="B173" s="35" t="s">
        <v>300</v>
      </c>
      <c r="C173" s="36" t="s">
        <v>437</v>
      </c>
      <c r="D173" s="37" t="s">
        <v>37</v>
      </c>
      <c r="E173" s="38" t="s">
        <v>438</v>
      </c>
      <c r="F173" s="35" t="s">
        <v>46</v>
      </c>
      <c r="K173" s="412">
        <f t="shared" si="15"/>
        <v>0</v>
      </c>
      <c r="L173" s="417">
        <v>0</v>
      </c>
      <c r="M173" s="417">
        <v>14</v>
      </c>
      <c r="N173" s="4">
        <v>0</v>
      </c>
      <c r="O173" s="17" t="s">
        <v>631</v>
      </c>
      <c r="P173" s="17" t="s">
        <v>36</v>
      </c>
      <c r="Q173" s="50" t="s">
        <v>632</v>
      </c>
      <c r="R173" s="51" t="s">
        <v>37</v>
      </c>
      <c r="S173" s="52" t="s">
        <v>633</v>
      </c>
      <c r="T173" s="17" t="s">
        <v>46</v>
      </c>
      <c r="U173" s="10">
        <v>1.1879999999999999</v>
      </c>
      <c r="V173" s="10">
        <v>1.0580000000000001</v>
      </c>
      <c r="W173" s="11">
        <v>0.25</v>
      </c>
      <c r="X173" s="11">
        <v>0.75</v>
      </c>
      <c r="Y173" s="11">
        <f t="shared" si="12"/>
        <v>1.0905</v>
      </c>
      <c r="Z173" s="11" t="s">
        <v>33</v>
      </c>
      <c r="AA173" s="11" t="s">
        <v>33</v>
      </c>
      <c r="AC173" s="57" t="s">
        <v>453</v>
      </c>
      <c r="AD173" s="57" t="s">
        <v>263</v>
      </c>
      <c r="AE173" s="54" t="s">
        <v>454</v>
      </c>
      <c r="AF173" s="55" t="s">
        <v>37</v>
      </c>
      <c r="AG173" s="56" t="s">
        <v>455</v>
      </c>
      <c r="AH173" s="57" t="s">
        <v>46</v>
      </c>
      <c r="AI173" s="59">
        <v>0</v>
      </c>
      <c r="AJ173" s="59" t="s">
        <v>34</v>
      </c>
      <c r="AK173" s="60">
        <v>140</v>
      </c>
      <c r="AM173" s="57" t="s">
        <v>634</v>
      </c>
      <c r="AN173" s="54" t="s">
        <v>580</v>
      </c>
      <c r="AO173" s="55" t="s">
        <v>37</v>
      </c>
      <c r="AP173" s="56" t="s">
        <v>581</v>
      </c>
      <c r="AQ173" s="57" t="s">
        <v>46</v>
      </c>
      <c r="AR173" s="58">
        <v>4399909.51</v>
      </c>
    </row>
    <row r="174" spans="1:44" ht="14.4">
      <c r="A174" s="35" t="s">
        <v>442</v>
      </c>
      <c r="B174" s="35" t="s">
        <v>36</v>
      </c>
      <c r="C174" s="36" t="s">
        <v>443</v>
      </c>
      <c r="D174" s="37" t="s">
        <v>37</v>
      </c>
      <c r="E174" s="38" t="s">
        <v>444</v>
      </c>
      <c r="F174" s="35" t="s">
        <v>46</v>
      </c>
      <c r="K174" s="412">
        <f t="shared" si="15"/>
        <v>0</v>
      </c>
      <c r="L174" s="417">
        <v>0</v>
      </c>
      <c r="M174" s="417">
        <v>0</v>
      </c>
      <c r="N174" s="4">
        <v>0</v>
      </c>
      <c r="O174" s="17" t="s">
        <v>635</v>
      </c>
      <c r="P174" s="17" t="s">
        <v>36</v>
      </c>
      <c r="Q174" s="50" t="s">
        <v>636</v>
      </c>
      <c r="R174" s="51" t="s">
        <v>37</v>
      </c>
      <c r="S174" s="52" t="s">
        <v>637</v>
      </c>
      <c r="T174" s="17" t="s">
        <v>46</v>
      </c>
      <c r="U174" s="10">
        <v>1.095</v>
      </c>
      <c r="V174" s="10">
        <v>1.0880000000000001</v>
      </c>
      <c r="W174" s="11">
        <v>0.25</v>
      </c>
      <c r="X174" s="11">
        <v>0.75</v>
      </c>
      <c r="Y174" s="11">
        <f t="shared" si="12"/>
        <v>1.08975</v>
      </c>
      <c r="Z174" s="11" t="s">
        <v>33</v>
      </c>
      <c r="AA174" s="11" t="s">
        <v>33</v>
      </c>
      <c r="AC174" s="57" t="s">
        <v>459</v>
      </c>
      <c r="AD174" s="57" t="s">
        <v>36</v>
      </c>
      <c r="AE174" s="54" t="s">
        <v>460</v>
      </c>
      <c r="AF174" s="55" t="s">
        <v>37</v>
      </c>
      <c r="AG174" s="56" t="s">
        <v>461</v>
      </c>
      <c r="AH174" s="57" t="s">
        <v>46</v>
      </c>
      <c r="AI174" s="59">
        <v>0</v>
      </c>
      <c r="AJ174" s="59" t="s">
        <v>34</v>
      </c>
      <c r="AK174" s="60">
        <v>1717</v>
      </c>
      <c r="AM174" s="57" t="s">
        <v>638</v>
      </c>
      <c r="AN174" s="54" t="s">
        <v>587</v>
      </c>
      <c r="AO174" s="55" t="s">
        <v>37</v>
      </c>
      <c r="AP174" s="56" t="s">
        <v>588</v>
      </c>
      <c r="AQ174" s="57" t="s">
        <v>46</v>
      </c>
      <c r="AR174" s="58">
        <v>952585.98</v>
      </c>
    </row>
    <row r="175" spans="1:44" ht="14.4">
      <c r="A175" s="35" t="s">
        <v>453</v>
      </c>
      <c r="B175" s="35" t="s">
        <v>263</v>
      </c>
      <c r="C175" s="36" t="s">
        <v>454</v>
      </c>
      <c r="D175" s="37" t="s">
        <v>37</v>
      </c>
      <c r="E175" s="38" t="s">
        <v>455</v>
      </c>
      <c r="F175" s="35" t="s">
        <v>46</v>
      </c>
      <c r="K175" s="412">
        <f t="shared" si="15"/>
        <v>0</v>
      </c>
      <c r="L175" s="417">
        <v>0</v>
      </c>
      <c r="M175" s="417">
        <v>1127.5</v>
      </c>
      <c r="N175" s="4">
        <v>0</v>
      </c>
      <c r="O175" s="62" t="s">
        <v>639</v>
      </c>
      <c r="P175" s="17" t="s">
        <v>28</v>
      </c>
      <c r="Q175" s="50" t="s">
        <v>640</v>
      </c>
      <c r="R175" s="51" t="s">
        <v>37</v>
      </c>
      <c r="S175" s="52" t="s">
        <v>641</v>
      </c>
      <c r="T175" s="17" t="s">
        <v>46</v>
      </c>
      <c r="U175" s="10">
        <v>1.0660000000000001</v>
      </c>
      <c r="V175" s="10">
        <v>1.0509999999999999</v>
      </c>
      <c r="W175" s="11">
        <v>0.25</v>
      </c>
      <c r="X175" s="11">
        <v>0.75</v>
      </c>
      <c r="Y175" s="11">
        <f t="shared" si="12"/>
        <v>1.0547499999999999</v>
      </c>
      <c r="Z175" s="11" t="s">
        <v>33</v>
      </c>
      <c r="AA175" s="11" t="s">
        <v>33</v>
      </c>
      <c r="AC175" s="53" t="s">
        <v>466</v>
      </c>
      <c r="AD175" s="57" t="s">
        <v>28</v>
      </c>
      <c r="AE175" s="54" t="s">
        <v>467</v>
      </c>
      <c r="AF175" s="55" t="s">
        <v>37</v>
      </c>
      <c r="AG175" s="56" t="s">
        <v>468</v>
      </c>
      <c r="AH175" s="57" t="s">
        <v>46</v>
      </c>
      <c r="AI175" s="59">
        <v>2</v>
      </c>
      <c r="AJ175" s="59" t="s">
        <v>34</v>
      </c>
      <c r="AK175" s="60">
        <v>360</v>
      </c>
      <c r="AM175" s="57" t="s">
        <v>642</v>
      </c>
      <c r="AN175" s="54" t="s">
        <v>592</v>
      </c>
      <c r="AO175" s="55" t="s">
        <v>37</v>
      </c>
      <c r="AP175" s="56" t="s">
        <v>593</v>
      </c>
      <c r="AQ175" s="57" t="s">
        <v>46</v>
      </c>
      <c r="AR175" s="58">
        <v>1685528.21</v>
      </c>
    </row>
    <row r="176" spans="1:44" ht="14.4">
      <c r="A176" s="35" t="s">
        <v>459</v>
      </c>
      <c r="B176" s="35" t="s">
        <v>36</v>
      </c>
      <c r="C176" s="36" t="s">
        <v>460</v>
      </c>
      <c r="D176" s="37" t="s">
        <v>37</v>
      </c>
      <c r="E176" s="38" t="s">
        <v>461</v>
      </c>
      <c r="F176" s="35" t="s">
        <v>46</v>
      </c>
      <c r="K176" s="412">
        <f t="shared" si="15"/>
        <v>0</v>
      </c>
      <c r="L176" s="417">
        <v>0</v>
      </c>
      <c r="M176" s="417">
        <v>0</v>
      </c>
      <c r="N176" s="4">
        <v>0</v>
      </c>
      <c r="O176" s="17" t="s">
        <v>560</v>
      </c>
      <c r="P176" s="17" t="s">
        <v>560</v>
      </c>
      <c r="Q176" s="50" t="s">
        <v>526</v>
      </c>
      <c r="R176" s="51" t="s">
        <v>24</v>
      </c>
      <c r="S176" s="52" t="s">
        <v>527</v>
      </c>
      <c r="T176" s="17" t="s">
        <v>26</v>
      </c>
      <c r="U176" s="10">
        <v>1.0429999999999999</v>
      </c>
      <c r="V176" s="10">
        <v>1.052</v>
      </c>
      <c r="W176" s="11">
        <v>0.25</v>
      </c>
      <c r="X176" s="11">
        <v>0.75</v>
      </c>
      <c r="Y176" s="11">
        <f t="shared" si="12"/>
        <v>1.04975</v>
      </c>
      <c r="Z176" s="11" t="s">
        <v>33</v>
      </c>
      <c r="AA176" s="11" t="s">
        <v>33</v>
      </c>
      <c r="AC176" s="57" t="s">
        <v>643</v>
      </c>
      <c r="AD176" s="57" t="s">
        <v>36</v>
      </c>
      <c r="AE176" s="54" t="s">
        <v>472</v>
      </c>
      <c r="AF176" s="55" t="s">
        <v>37</v>
      </c>
      <c r="AG176" s="56" t="s">
        <v>473</v>
      </c>
      <c r="AH176" s="57" t="s">
        <v>46</v>
      </c>
      <c r="AI176" s="59">
        <v>0</v>
      </c>
      <c r="AJ176" s="59" t="s">
        <v>34</v>
      </c>
      <c r="AK176" s="60">
        <v>433</v>
      </c>
      <c r="AM176" s="57" t="s">
        <v>644</v>
      </c>
      <c r="AN176" s="54" t="s">
        <v>597</v>
      </c>
      <c r="AO176" s="55" t="s">
        <v>37</v>
      </c>
      <c r="AP176" s="56" t="s">
        <v>598</v>
      </c>
      <c r="AQ176" s="57" t="s">
        <v>46</v>
      </c>
      <c r="AR176" s="58">
        <v>1676361.78</v>
      </c>
    </row>
    <row r="177" spans="1:44" ht="14.4">
      <c r="A177" s="48" t="s">
        <v>466</v>
      </c>
      <c r="B177" s="35" t="s">
        <v>28</v>
      </c>
      <c r="C177" s="36" t="s">
        <v>467</v>
      </c>
      <c r="D177" s="37" t="s">
        <v>37</v>
      </c>
      <c r="E177" s="38" t="s">
        <v>468</v>
      </c>
      <c r="F177" s="35" t="s">
        <v>46</v>
      </c>
      <c r="K177" s="412">
        <f t="shared" si="15"/>
        <v>0</v>
      </c>
      <c r="L177" s="417">
        <v>0</v>
      </c>
      <c r="M177" s="417">
        <v>361</v>
      </c>
      <c r="N177" s="4">
        <v>0</v>
      </c>
      <c r="O177" s="17" t="s">
        <v>529</v>
      </c>
      <c r="P177" s="17" t="s">
        <v>529</v>
      </c>
      <c r="Q177" s="50" t="s">
        <v>530</v>
      </c>
      <c r="R177" s="51" t="s">
        <v>24</v>
      </c>
      <c r="S177" s="52" t="s">
        <v>531</v>
      </c>
      <c r="T177" s="17" t="s">
        <v>26</v>
      </c>
      <c r="U177" s="10">
        <v>1.0940000000000001</v>
      </c>
      <c r="V177" s="10">
        <v>1.0760000000000001</v>
      </c>
      <c r="W177" s="11">
        <v>0.25</v>
      </c>
      <c r="X177" s="11">
        <v>0.75</v>
      </c>
      <c r="Y177" s="11">
        <f t="shared" si="12"/>
        <v>1.0805</v>
      </c>
      <c r="Z177" s="11" t="s">
        <v>33</v>
      </c>
      <c r="AA177" s="11" t="s">
        <v>33</v>
      </c>
      <c r="AC177" s="57" t="s">
        <v>497</v>
      </c>
      <c r="AD177" s="57" t="s">
        <v>107</v>
      </c>
      <c r="AE177" s="54" t="s">
        <v>498</v>
      </c>
      <c r="AF177" s="55" t="s">
        <v>37</v>
      </c>
      <c r="AG177" s="56" t="s">
        <v>499</v>
      </c>
      <c r="AH177" s="57" t="s">
        <v>46</v>
      </c>
      <c r="AI177" s="59">
        <v>0</v>
      </c>
      <c r="AJ177" s="59" t="s">
        <v>34</v>
      </c>
      <c r="AK177" s="60">
        <v>163</v>
      </c>
      <c r="AM177" s="57" t="s">
        <v>645</v>
      </c>
      <c r="AN177" s="54" t="s">
        <v>610</v>
      </c>
      <c r="AO177" s="55" t="s">
        <v>37</v>
      </c>
      <c r="AP177" s="56" t="s">
        <v>611</v>
      </c>
      <c r="AQ177" s="57" t="s">
        <v>46</v>
      </c>
      <c r="AR177" s="58">
        <v>2438109.02</v>
      </c>
    </row>
    <row r="178" spans="1:44" ht="14.4">
      <c r="A178" s="35" t="s">
        <v>643</v>
      </c>
      <c r="B178" s="35" t="s">
        <v>36</v>
      </c>
      <c r="C178" s="36" t="s">
        <v>472</v>
      </c>
      <c r="D178" s="37" t="s">
        <v>37</v>
      </c>
      <c r="E178" s="38" t="s">
        <v>473</v>
      </c>
      <c r="F178" s="35" t="s">
        <v>46</v>
      </c>
      <c r="K178" s="412">
        <f t="shared" si="15"/>
        <v>0</v>
      </c>
      <c r="L178" s="417">
        <v>0</v>
      </c>
      <c r="M178" s="417">
        <v>0</v>
      </c>
      <c r="N178" s="4">
        <v>0</v>
      </c>
      <c r="O178" s="17" t="s">
        <v>532</v>
      </c>
      <c r="P178" s="17" t="s">
        <v>532</v>
      </c>
      <c r="Q178" s="50" t="s">
        <v>194</v>
      </c>
      <c r="R178" s="51" t="s">
        <v>24</v>
      </c>
      <c r="S178" s="52" t="s">
        <v>533</v>
      </c>
      <c r="T178" s="17" t="s">
        <v>26</v>
      </c>
      <c r="U178" s="10">
        <v>1.1359999999999999</v>
      </c>
      <c r="V178" s="10">
        <v>1.1339999999999999</v>
      </c>
      <c r="W178" s="11">
        <v>0.25</v>
      </c>
      <c r="X178" s="11">
        <v>0.75</v>
      </c>
      <c r="Y178" s="11">
        <f t="shared" si="12"/>
        <v>1.1344999999999998</v>
      </c>
      <c r="Z178" s="11" t="s">
        <v>33</v>
      </c>
      <c r="AA178" s="11" t="s">
        <v>33</v>
      </c>
      <c r="AC178" s="57" t="s">
        <v>503</v>
      </c>
      <c r="AD178" s="57" t="s">
        <v>28</v>
      </c>
      <c r="AE178" s="54" t="s">
        <v>504</v>
      </c>
      <c r="AF178" s="55" t="s">
        <v>37</v>
      </c>
      <c r="AG178" s="56" t="s">
        <v>505</v>
      </c>
      <c r="AH178" s="57" t="s">
        <v>46</v>
      </c>
      <c r="AI178" s="59">
        <v>1</v>
      </c>
      <c r="AJ178" s="59" t="s">
        <v>34</v>
      </c>
      <c r="AK178" s="60">
        <v>1286</v>
      </c>
      <c r="AM178" s="57" t="s">
        <v>646</v>
      </c>
      <c r="AN178" s="54" t="s">
        <v>601</v>
      </c>
      <c r="AO178" s="55" t="s">
        <v>37</v>
      </c>
      <c r="AP178" s="56" t="s">
        <v>602</v>
      </c>
      <c r="AQ178" s="57" t="s">
        <v>46</v>
      </c>
      <c r="AR178" s="58">
        <v>1476745.88</v>
      </c>
    </row>
    <row r="179" spans="1:44" ht="14.4">
      <c r="A179" s="35" t="s">
        <v>497</v>
      </c>
      <c r="B179" s="35" t="s">
        <v>107</v>
      </c>
      <c r="C179" s="36" t="s">
        <v>498</v>
      </c>
      <c r="D179" s="37" t="s">
        <v>37</v>
      </c>
      <c r="E179" s="38" t="s">
        <v>499</v>
      </c>
      <c r="F179" s="35" t="s">
        <v>46</v>
      </c>
      <c r="K179" s="412">
        <f t="shared" si="15"/>
        <v>0</v>
      </c>
      <c r="L179" s="417">
        <v>0</v>
      </c>
      <c r="M179" s="417">
        <v>170.5</v>
      </c>
      <c r="N179" s="4">
        <v>0</v>
      </c>
      <c r="O179" s="62" t="s">
        <v>647</v>
      </c>
      <c r="P179" s="17" t="s">
        <v>28</v>
      </c>
      <c r="Q179" s="50" t="s">
        <v>648</v>
      </c>
      <c r="R179" s="51" t="s">
        <v>37</v>
      </c>
      <c r="S179" s="52" t="s">
        <v>649</v>
      </c>
      <c r="T179" s="17" t="s">
        <v>46</v>
      </c>
      <c r="U179" s="10">
        <v>1.032</v>
      </c>
      <c r="V179" s="10">
        <v>1.0269999999999999</v>
      </c>
      <c r="W179" s="11">
        <v>0.25</v>
      </c>
      <c r="X179" s="11">
        <v>0.75</v>
      </c>
      <c r="Y179" s="11">
        <f t="shared" si="12"/>
        <v>1.0282499999999999</v>
      </c>
      <c r="Z179" s="11" t="s">
        <v>33</v>
      </c>
      <c r="AA179" s="11" t="s">
        <v>33</v>
      </c>
      <c r="AC179" s="57" t="s">
        <v>508</v>
      </c>
      <c r="AD179" s="57" t="s">
        <v>28</v>
      </c>
      <c r="AE179" s="54" t="s">
        <v>509</v>
      </c>
      <c r="AF179" s="55" t="s">
        <v>37</v>
      </c>
      <c r="AG179" s="56" t="s">
        <v>510</v>
      </c>
      <c r="AH179" s="57" t="s">
        <v>46</v>
      </c>
      <c r="AI179" s="59">
        <v>1</v>
      </c>
      <c r="AJ179" s="59" t="s">
        <v>34</v>
      </c>
      <c r="AK179" s="60">
        <v>292</v>
      </c>
      <c r="AM179" s="57" t="s">
        <v>650</v>
      </c>
      <c r="AN179" s="54" t="s">
        <v>605</v>
      </c>
      <c r="AO179" s="55" t="s">
        <v>37</v>
      </c>
      <c r="AP179" s="56" t="s">
        <v>606</v>
      </c>
      <c r="AQ179" s="57" t="s">
        <v>46</v>
      </c>
      <c r="AR179" s="58">
        <v>2086771</v>
      </c>
    </row>
    <row r="180" spans="1:44" ht="14.4">
      <c r="A180" s="35" t="s">
        <v>503</v>
      </c>
      <c r="B180" s="35" t="s">
        <v>28</v>
      </c>
      <c r="C180" s="36" t="s">
        <v>504</v>
      </c>
      <c r="D180" s="37" t="s">
        <v>37</v>
      </c>
      <c r="E180" s="38" t="s">
        <v>505</v>
      </c>
      <c r="F180" s="35" t="s">
        <v>46</v>
      </c>
      <c r="K180" s="412">
        <f t="shared" si="15"/>
        <v>0</v>
      </c>
      <c r="L180" s="417">
        <v>0</v>
      </c>
      <c r="M180" s="417">
        <v>0</v>
      </c>
      <c r="N180" s="4">
        <v>0</v>
      </c>
      <c r="O180" s="62" t="s">
        <v>651</v>
      </c>
      <c r="P180" s="17" t="s">
        <v>36</v>
      </c>
      <c r="Q180" s="50" t="s">
        <v>557</v>
      </c>
      <c r="R180" s="51" t="s">
        <v>37</v>
      </c>
      <c r="S180" s="52" t="s">
        <v>558</v>
      </c>
      <c r="T180" s="17" t="s">
        <v>46</v>
      </c>
      <c r="U180" s="10">
        <v>1.006</v>
      </c>
      <c r="V180" s="10" t="s">
        <v>42</v>
      </c>
      <c r="W180" s="11">
        <v>0.25</v>
      </c>
      <c r="X180" s="11">
        <v>0.75</v>
      </c>
      <c r="Y180" s="11">
        <f t="shared" si="12"/>
        <v>1.0015000000000001</v>
      </c>
      <c r="Z180" s="11" t="s">
        <v>33</v>
      </c>
      <c r="AA180" s="11" t="s">
        <v>33</v>
      </c>
      <c r="AC180" s="57" t="s">
        <v>514</v>
      </c>
      <c r="AD180" s="57" t="s">
        <v>36</v>
      </c>
      <c r="AE180" s="54" t="s">
        <v>515</v>
      </c>
      <c r="AF180" s="55" t="s">
        <v>37</v>
      </c>
      <c r="AG180" s="56" t="s">
        <v>516</v>
      </c>
      <c r="AH180" s="57" t="s">
        <v>46</v>
      </c>
      <c r="AI180" s="59">
        <v>0</v>
      </c>
      <c r="AJ180" s="59" t="s">
        <v>34</v>
      </c>
      <c r="AK180" s="60">
        <v>437</v>
      </c>
      <c r="AM180" s="57" t="s">
        <v>616</v>
      </c>
      <c r="AN180" s="54" t="s">
        <v>617</v>
      </c>
      <c r="AO180" s="55" t="s">
        <v>37</v>
      </c>
      <c r="AP180" s="56" t="s">
        <v>618</v>
      </c>
      <c r="AQ180" s="57" t="s">
        <v>46</v>
      </c>
      <c r="AR180" s="58">
        <v>2331882.23</v>
      </c>
    </row>
    <row r="181" spans="1:44" ht="14.4">
      <c r="A181" s="35" t="s">
        <v>508</v>
      </c>
      <c r="B181" s="35" t="s">
        <v>28</v>
      </c>
      <c r="C181" s="36" t="s">
        <v>509</v>
      </c>
      <c r="D181" s="37" t="s">
        <v>37</v>
      </c>
      <c r="E181" s="38" t="s">
        <v>510</v>
      </c>
      <c r="F181" s="35" t="s">
        <v>46</v>
      </c>
      <c r="K181" s="412">
        <f t="shared" si="15"/>
        <v>0</v>
      </c>
      <c r="L181" s="417">
        <v>0</v>
      </c>
      <c r="M181" s="417">
        <v>354.5</v>
      </c>
      <c r="N181" s="4">
        <v>0</v>
      </c>
      <c r="O181" s="17" t="s">
        <v>534</v>
      </c>
      <c r="P181" s="17" t="s">
        <v>534</v>
      </c>
      <c r="Q181" s="50" t="s">
        <v>535</v>
      </c>
      <c r="R181" s="51" t="s">
        <v>24</v>
      </c>
      <c r="S181" s="52" t="s">
        <v>536</v>
      </c>
      <c r="T181" s="17" t="s">
        <v>26</v>
      </c>
      <c r="U181" s="10">
        <v>1.1299999999999999</v>
      </c>
      <c r="V181" s="10" t="s">
        <v>42</v>
      </c>
      <c r="W181" s="11">
        <v>0.25</v>
      </c>
      <c r="X181" s="11">
        <v>0.75</v>
      </c>
      <c r="Y181" s="11">
        <f t="shared" si="12"/>
        <v>1.0325</v>
      </c>
      <c r="Z181" s="11" t="s">
        <v>33</v>
      </c>
      <c r="AA181" s="11" t="s">
        <v>33</v>
      </c>
      <c r="AC181" s="57" t="s">
        <v>543</v>
      </c>
      <c r="AD181" s="57" t="s">
        <v>107</v>
      </c>
      <c r="AE181" s="54" t="s">
        <v>544</v>
      </c>
      <c r="AF181" s="55" t="s">
        <v>37</v>
      </c>
      <c r="AG181" s="56" t="s">
        <v>545</v>
      </c>
      <c r="AH181" s="57" t="s">
        <v>46</v>
      </c>
      <c r="AI181" s="59">
        <v>1</v>
      </c>
      <c r="AJ181" s="59" t="s">
        <v>577</v>
      </c>
      <c r="AK181" s="60">
        <v>61</v>
      </c>
      <c r="AM181" s="57" t="s">
        <v>652</v>
      </c>
      <c r="AN181" s="54" t="s">
        <v>620</v>
      </c>
      <c r="AO181" s="55" t="s">
        <v>37</v>
      </c>
      <c r="AP181" s="56" t="s">
        <v>621</v>
      </c>
      <c r="AQ181" s="57" t="s">
        <v>46</v>
      </c>
      <c r="AR181" s="58">
        <v>1570441.42</v>
      </c>
    </row>
    <row r="182" spans="1:44" ht="14.4">
      <c r="A182" s="35" t="s">
        <v>514</v>
      </c>
      <c r="B182" s="35" t="s">
        <v>36</v>
      </c>
      <c r="C182" s="36" t="s">
        <v>515</v>
      </c>
      <c r="D182" s="37" t="s">
        <v>37</v>
      </c>
      <c r="E182" s="38" t="s">
        <v>516</v>
      </c>
      <c r="F182" s="35" t="s">
        <v>46</v>
      </c>
      <c r="K182" s="412">
        <f t="shared" si="15"/>
        <v>0</v>
      </c>
      <c r="L182" s="417">
        <v>0</v>
      </c>
      <c r="M182" s="417">
        <v>63</v>
      </c>
      <c r="N182" s="4">
        <v>0</v>
      </c>
      <c r="O182" s="24" t="s">
        <v>546</v>
      </c>
      <c r="P182" s="17" t="s">
        <v>129</v>
      </c>
      <c r="Q182" s="50" t="s">
        <v>130</v>
      </c>
      <c r="R182" s="51" t="s">
        <v>242</v>
      </c>
      <c r="S182" s="52" t="s">
        <v>518</v>
      </c>
      <c r="T182" s="17" t="s">
        <v>32</v>
      </c>
      <c r="U182" s="10">
        <v>1.024</v>
      </c>
      <c r="V182" s="10" t="s">
        <v>42</v>
      </c>
      <c r="W182" s="11">
        <v>0.25</v>
      </c>
      <c r="X182" s="11">
        <v>0.75</v>
      </c>
      <c r="Y182" s="11">
        <f t="shared" si="12"/>
        <v>1.006</v>
      </c>
      <c r="Z182" s="11" t="s">
        <v>33</v>
      </c>
      <c r="AA182" s="11" t="s">
        <v>33</v>
      </c>
      <c r="AC182" s="57" t="s">
        <v>553</v>
      </c>
      <c r="AD182" s="57" t="s">
        <v>450</v>
      </c>
      <c r="AE182" s="54" t="s">
        <v>554</v>
      </c>
      <c r="AF182" s="55" t="s">
        <v>37</v>
      </c>
      <c r="AG182" s="56" t="s">
        <v>555</v>
      </c>
      <c r="AH182" s="57" t="s">
        <v>46</v>
      </c>
      <c r="AI182" s="59">
        <v>0</v>
      </c>
      <c r="AJ182" s="59" t="s">
        <v>34</v>
      </c>
      <c r="AK182" s="60">
        <v>73.5</v>
      </c>
      <c r="AM182" s="57" t="s">
        <v>653</v>
      </c>
      <c r="AN182" s="54" t="s">
        <v>623</v>
      </c>
      <c r="AO182" s="55" t="s">
        <v>37</v>
      </c>
      <c r="AP182" s="56" t="s">
        <v>624</v>
      </c>
      <c r="AQ182" s="57" t="s">
        <v>46</v>
      </c>
      <c r="AR182" s="58">
        <v>1724330.15</v>
      </c>
    </row>
    <row r="183" spans="1:44" ht="14.4">
      <c r="A183" s="35" t="s">
        <v>543</v>
      </c>
      <c r="B183" s="35" t="s">
        <v>107</v>
      </c>
      <c r="C183" s="36" t="s">
        <v>544</v>
      </c>
      <c r="D183" s="37" t="s">
        <v>37</v>
      </c>
      <c r="E183" s="38" t="s">
        <v>545</v>
      </c>
      <c r="F183" s="35" t="s">
        <v>46</v>
      </c>
      <c r="K183" s="412">
        <f t="shared" si="15"/>
        <v>0</v>
      </c>
      <c r="L183" s="417">
        <v>0</v>
      </c>
      <c r="M183" s="417">
        <v>59.5</v>
      </c>
      <c r="N183" s="4">
        <v>0</v>
      </c>
      <c r="O183" s="17" t="s">
        <v>537</v>
      </c>
      <c r="P183" s="17" t="s">
        <v>537</v>
      </c>
      <c r="Q183" s="50" t="s">
        <v>538</v>
      </c>
      <c r="R183" s="51" t="s">
        <v>24</v>
      </c>
      <c r="S183" s="52" t="s">
        <v>539</v>
      </c>
      <c r="T183" s="17" t="s">
        <v>26</v>
      </c>
      <c r="U183" s="10">
        <v>1.1259999999999999</v>
      </c>
      <c r="V183" s="10">
        <v>1.115</v>
      </c>
      <c r="W183" s="11">
        <v>0.25</v>
      </c>
      <c r="X183" s="11">
        <v>0.75</v>
      </c>
      <c r="Y183" s="11">
        <f t="shared" si="12"/>
        <v>1.11775</v>
      </c>
      <c r="Z183" s="11" t="s">
        <v>33</v>
      </c>
      <c r="AA183" s="11" t="s">
        <v>33</v>
      </c>
      <c r="AC183" s="57" t="s">
        <v>563</v>
      </c>
      <c r="AD183" s="57" t="s">
        <v>450</v>
      </c>
      <c r="AE183" s="54" t="s">
        <v>564</v>
      </c>
      <c r="AF183" s="55" t="s">
        <v>37</v>
      </c>
      <c r="AG183" s="56" t="s">
        <v>565</v>
      </c>
      <c r="AH183" s="57" t="s">
        <v>46</v>
      </c>
      <c r="AI183" s="59">
        <v>0</v>
      </c>
      <c r="AJ183" s="59" t="s">
        <v>34</v>
      </c>
      <c r="AK183" s="60">
        <v>50</v>
      </c>
      <c r="AM183" s="57" t="s">
        <v>654</v>
      </c>
      <c r="AN183" s="54" t="s">
        <v>151</v>
      </c>
      <c r="AO183" s="55" t="s">
        <v>37</v>
      </c>
      <c r="AP183" s="56" t="s">
        <v>152</v>
      </c>
      <c r="AQ183" s="57" t="s">
        <v>46</v>
      </c>
      <c r="AR183" s="58">
        <v>4025626.49</v>
      </c>
    </row>
    <row r="184" spans="1:44" ht="14.4">
      <c r="A184" s="35" t="s">
        <v>553</v>
      </c>
      <c r="B184" s="35" t="s">
        <v>450</v>
      </c>
      <c r="C184" s="36" t="s">
        <v>554</v>
      </c>
      <c r="D184" s="37" t="s">
        <v>37</v>
      </c>
      <c r="E184" s="38" t="s">
        <v>555</v>
      </c>
      <c r="F184" s="35" t="s">
        <v>46</v>
      </c>
      <c r="K184" s="412">
        <f t="shared" si="15"/>
        <v>0</v>
      </c>
      <c r="L184" s="417">
        <v>0</v>
      </c>
      <c r="M184" s="417">
        <v>37</v>
      </c>
      <c r="N184" s="4">
        <v>0</v>
      </c>
      <c r="O184" s="17" t="s">
        <v>655</v>
      </c>
      <c r="P184" s="17" t="s">
        <v>366</v>
      </c>
      <c r="Q184" s="50" t="s">
        <v>656</v>
      </c>
      <c r="R184" s="51" t="s">
        <v>37</v>
      </c>
      <c r="S184" s="52" t="s">
        <v>657</v>
      </c>
      <c r="T184" s="17" t="s">
        <v>46</v>
      </c>
      <c r="U184" s="10">
        <v>1.1379999999999999</v>
      </c>
      <c r="V184" s="10">
        <v>1.0249999999999999</v>
      </c>
      <c r="W184" s="11">
        <v>0.25</v>
      </c>
      <c r="X184" s="11">
        <v>0.75</v>
      </c>
      <c r="Y184" s="11">
        <f t="shared" si="12"/>
        <v>1.0532499999999998</v>
      </c>
      <c r="Z184" s="11" t="s">
        <v>33</v>
      </c>
      <c r="AA184" s="11" t="s">
        <v>33</v>
      </c>
      <c r="AC184" s="57" t="s">
        <v>572</v>
      </c>
      <c r="AD184" s="57" t="s">
        <v>150</v>
      </c>
      <c r="AE184" s="54" t="s">
        <v>573</v>
      </c>
      <c r="AF184" s="55" t="s">
        <v>37</v>
      </c>
      <c r="AG184" s="56" t="s">
        <v>574</v>
      </c>
      <c r="AH184" s="57" t="s">
        <v>46</v>
      </c>
      <c r="AI184" s="59">
        <v>0</v>
      </c>
      <c r="AJ184" s="59" t="s">
        <v>34</v>
      </c>
      <c r="AK184" s="60">
        <v>207</v>
      </c>
      <c r="AM184" s="57" t="s">
        <v>658</v>
      </c>
      <c r="AN184" s="54" t="s">
        <v>632</v>
      </c>
      <c r="AO184" s="55" t="s">
        <v>37</v>
      </c>
      <c r="AP184" s="56" t="s">
        <v>633</v>
      </c>
      <c r="AQ184" s="57" t="s">
        <v>46</v>
      </c>
      <c r="AR184" s="58">
        <v>1634388.88</v>
      </c>
    </row>
    <row r="185" spans="1:44" ht="14.4">
      <c r="A185" s="35" t="s">
        <v>563</v>
      </c>
      <c r="B185" s="35" t="s">
        <v>450</v>
      </c>
      <c r="C185" s="36" t="s">
        <v>564</v>
      </c>
      <c r="D185" s="37" t="s">
        <v>37</v>
      </c>
      <c r="E185" s="38" t="s">
        <v>565</v>
      </c>
      <c r="F185" s="35" t="s">
        <v>46</v>
      </c>
      <c r="K185" s="412">
        <f t="shared" si="15"/>
        <v>0</v>
      </c>
      <c r="L185" s="417">
        <v>0</v>
      </c>
      <c r="M185" s="417">
        <v>190</v>
      </c>
      <c r="N185" s="4">
        <v>0</v>
      </c>
      <c r="O185" s="17" t="s">
        <v>540</v>
      </c>
      <c r="P185" s="17" t="s">
        <v>540</v>
      </c>
      <c r="Q185" s="18" t="s">
        <v>541</v>
      </c>
      <c r="R185" s="19" t="s">
        <v>24</v>
      </c>
      <c r="S185" s="20" t="s">
        <v>542</v>
      </c>
      <c r="T185" s="21" t="s">
        <v>26</v>
      </c>
      <c r="U185" s="10">
        <v>1.0660000000000001</v>
      </c>
      <c r="V185" s="10">
        <v>1.0109999999999999</v>
      </c>
      <c r="W185" s="11">
        <v>0.25</v>
      </c>
      <c r="X185" s="11">
        <v>0.75</v>
      </c>
      <c r="Y185" s="11">
        <f t="shared" si="12"/>
        <v>1.0247499999999998</v>
      </c>
      <c r="Z185" s="11" t="s">
        <v>33</v>
      </c>
      <c r="AA185" s="11" t="s">
        <v>33</v>
      </c>
      <c r="AC185" s="57" t="s">
        <v>579</v>
      </c>
      <c r="AD185" s="57" t="s">
        <v>395</v>
      </c>
      <c r="AE185" s="54" t="s">
        <v>580</v>
      </c>
      <c r="AF185" s="55" t="s">
        <v>37</v>
      </c>
      <c r="AG185" s="56" t="s">
        <v>581</v>
      </c>
      <c r="AH185" s="57" t="s">
        <v>46</v>
      </c>
      <c r="AI185" s="59">
        <v>0</v>
      </c>
      <c r="AJ185" s="59" t="s">
        <v>34</v>
      </c>
      <c r="AK185" s="60">
        <v>474.5</v>
      </c>
      <c r="AM185" s="57" t="s">
        <v>659</v>
      </c>
      <c r="AN185" s="54" t="s">
        <v>428</v>
      </c>
      <c r="AO185" s="55" t="s">
        <v>37</v>
      </c>
      <c r="AP185" s="56" t="s">
        <v>429</v>
      </c>
      <c r="AQ185" s="57" t="s">
        <v>46</v>
      </c>
      <c r="AR185" s="58">
        <v>2435071.31</v>
      </c>
    </row>
    <row r="186" spans="1:44" ht="14.4">
      <c r="A186" s="35" t="s">
        <v>572</v>
      </c>
      <c r="B186" s="35" t="s">
        <v>150</v>
      </c>
      <c r="C186" s="36" t="s">
        <v>573</v>
      </c>
      <c r="D186" s="37" t="s">
        <v>37</v>
      </c>
      <c r="E186" s="38" t="s">
        <v>574</v>
      </c>
      <c r="F186" s="35" t="s">
        <v>46</v>
      </c>
      <c r="K186" s="412">
        <f t="shared" si="15"/>
        <v>0</v>
      </c>
      <c r="L186" s="417">
        <v>0</v>
      </c>
      <c r="M186" s="417">
        <v>181</v>
      </c>
      <c r="N186" s="4">
        <v>0</v>
      </c>
      <c r="O186" s="24" t="s">
        <v>227</v>
      </c>
      <c r="P186" s="17" t="s">
        <v>36</v>
      </c>
      <c r="Q186" s="18" t="s">
        <v>37</v>
      </c>
      <c r="R186" s="19" t="s">
        <v>228</v>
      </c>
      <c r="S186" s="20" t="s">
        <v>229</v>
      </c>
      <c r="T186" s="21" t="s">
        <v>32</v>
      </c>
      <c r="U186" s="10" t="s">
        <v>42</v>
      </c>
      <c r="V186" s="10" t="s">
        <v>42</v>
      </c>
      <c r="W186" s="11">
        <v>0.25</v>
      </c>
      <c r="X186" s="11">
        <v>0.75</v>
      </c>
      <c r="Y186" s="11">
        <f>W186*U186+X186*V186</f>
        <v>1</v>
      </c>
      <c r="Z186" s="11" t="s">
        <v>33</v>
      </c>
      <c r="AA186" s="11" t="s">
        <v>33</v>
      </c>
      <c r="AC186" s="57" t="s">
        <v>586</v>
      </c>
      <c r="AD186" s="57" t="s">
        <v>263</v>
      </c>
      <c r="AE186" s="54" t="s">
        <v>587</v>
      </c>
      <c r="AF186" s="55" t="s">
        <v>37</v>
      </c>
      <c r="AG186" s="56" t="s">
        <v>588</v>
      </c>
      <c r="AH186" s="57" t="s">
        <v>46</v>
      </c>
      <c r="AI186" s="59">
        <v>0</v>
      </c>
      <c r="AJ186" s="59" t="s">
        <v>34</v>
      </c>
      <c r="AK186" s="60">
        <v>78</v>
      </c>
      <c r="AM186" s="57" t="s">
        <v>660</v>
      </c>
      <c r="AN186" s="54" t="s">
        <v>636</v>
      </c>
      <c r="AO186" s="55" t="s">
        <v>37</v>
      </c>
      <c r="AP186" s="56" t="s">
        <v>637</v>
      </c>
      <c r="AQ186" s="57" t="s">
        <v>46</v>
      </c>
      <c r="AR186" s="58">
        <v>2960853.75</v>
      </c>
    </row>
    <row r="187" spans="1:44" ht="14.4">
      <c r="A187" s="35" t="s">
        <v>579</v>
      </c>
      <c r="B187" s="35" t="s">
        <v>395</v>
      </c>
      <c r="C187" s="36" t="s">
        <v>580</v>
      </c>
      <c r="D187" s="37" t="s">
        <v>37</v>
      </c>
      <c r="E187" s="38" t="s">
        <v>581</v>
      </c>
      <c r="F187" s="35" t="s">
        <v>46</v>
      </c>
      <c r="K187" s="412">
        <f t="shared" si="15"/>
        <v>0</v>
      </c>
      <c r="L187" s="417">
        <v>0</v>
      </c>
      <c r="M187" s="417">
        <v>8</v>
      </c>
      <c r="N187" s="4">
        <v>0</v>
      </c>
      <c r="O187" s="17" t="s">
        <v>550</v>
      </c>
      <c r="P187" s="17" t="s">
        <v>550</v>
      </c>
      <c r="Q187" s="18" t="s">
        <v>551</v>
      </c>
      <c r="R187" s="19" t="s">
        <v>24</v>
      </c>
      <c r="S187" s="20" t="s">
        <v>552</v>
      </c>
      <c r="T187" s="21" t="s">
        <v>26</v>
      </c>
      <c r="U187" s="10">
        <v>1.0960000000000001</v>
      </c>
      <c r="V187" s="10">
        <v>1.052</v>
      </c>
      <c r="W187" s="11">
        <v>0.25</v>
      </c>
      <c r="X187" s="11">
        <v>0.75</v>
      </c>
      <c r="Y187" s="11">
        <f>W187*U187+X187*V187</f>
        <v>1.0630000000000002</v>
      </c>
      <c r="Z187" s="11" t="s">
        <v>33</v>
      </c>
      <c r="AA187" s="11" t="s">
        <v>33</v>
      </c>
      <c r="AC187" s="57" t="s">
        <v>591</v>
      </c>
      <c r="AD187" s="57" t="s">
        <v>36</v>
      </c>
      <c r="AE187" s="54" t="s">
        <v>592</v>
      </c>
      <c r="AF187" s="55" t="s">
        <v>37</v>
      </c>
      <c r="AG187" s="56" t="s">
        <v>593</v>
      </c>
      <c r="AH187" s="57" t="s">
        <v>46</v>
      </c>
      <c r="AI187" s="59">
        <v>0</v>
      </c>
      <c r="AJ187" s="59" t="s">
        <v>34</v>
      </c>
      <c r="AK187" s="60">
        <v>193</v>
      </c>
      <c r="AM187" s="53" t="s">
        <v>661</v>
      </c>
      <c r="AN187" s="54" t="s">
        <v>640</v>
      </c>
      <c r="AO187" s="55" t="s">
        <v>37</v>
      </c>
      <c r="AP187" s="56" t="s">
        <v>641</v>
      </c>
      <c r="AQ187" s="57" t="s">
        <v>46</v>
      </c>
      <c r="AR187" s="58">
        <v>3344360.95</v>
      </c>
    </row>
    <row r="188" spans="1:44" ht="14.4">
      <c r="A188" s="35" t="s">
        <v>586</v>
      </c>
      <c r="B188" s="35" t="s">
        <v>263</v>
      </c>
      <c r="C188" s="36" t="s">
        <v>587</v>
      </c>
      <c r="D188" s="37" t="s">
        <v>37</v>
      </c>
      <c r="E188" s="38" t="s">
        <v>588</v>
      </c>
      <c r="F188" s="35" t="s">
        <v>46</v>
      </c>
      <c r="K188" s="412">
        <f t="shared" si="15"/>
        <v>0</v>
      </c>
      <c r="L188" s="417">
        <v>0</v>
      </c>
      <c r="M188" s="417">
        <v>108</v>
      </c>
      <c r="N188" s="4">
        <v>0</v>
      </c>
      <c r="O188" s="70" t="s">
        <v>224</v>
      </c>
      <c r="S188" s="70" t="s">
        <v>226</v>
      </c>
      <c r="T188" s="4" t="s">
        <v>32</v>
      </c>
      <c r="U188" s="4">
        <v>1.08</v>
      </c>
      <c r="V188" s="4">
        <v>1.077</v>
      </c>
      <c r="AC188" s="57" t="s">
        <v>596</v>
      </c>
      <c r="AD188" s="57" t="s">
        <v>36</v>
      </c>
      <c r="AE188" s="54" t="s">
        <v>597</v>
      </c>
      <c r="AF188" s="55" t="s">
        <v>37</v>
      </c>
      <c r="AG188" s="56" t="s">
        <v>598</v>
      </c>
      <c r="AH188" s="57" t="s">
        <v>46</v>
      </c>
      <c r="AI188" s="59">
        <v>0</v>
      </c>
      <c r="AJ188" s="59" t="s">
        <v>34</v>
      </c>
      <c r="AK188" s="60">
        <v>180</v>
      </c>
      <c r="AM188" s="53" t="s">
        <v>662</v>
      </c>
      <c r="AN188" s="54" t="s">
        <v>648</v>
      </c>
      <c r="AO188" s="55" t="s">
        <v>37</v>
      </c>
      <c r="AP188" s="56" t="s">
        <v>649</v>
      </c>
      <c r="AQ188" s="57" t="s">
        <v>46</v>
      </c>
      <c r="AR188" s="58">
        <v>5526684.5199999996</v>
      </c>
    </row>
    <row r="189" spans="1:44" ht="14.4">
      <c r="A189" s="35" t="s">
        <v>591</v>
      </c>
      <c r="B189" s="35" t="s">
        <v>36</v>
      </c>
      <c r="C189" s="36" t="s">
        <v>592</v>
      </c>
      <c r="D189" s="37" t="s">
        <v>37</v>
      </c>
      <c r="E189" s="38" t="s">
        <v>593</v>
      </c>
      <c r="F189" s="35" t="s">
        <v>46</v>
      </c>
      <c r="K189" s="412">
        <f t="shared" si="15"/>
        <v>0</v>
      </c>
      <c r="L189" s="417">
        <v>0</v>
      </c>
      <c r="M189" s="417">
        <v>53</v>
      </c>
      <c r="N189" s="4">
        <v>0</v>
      </c>
      <c r="O189" s="70" t="s">
        <v>583</v>
      </c>
      <c r="S189" s="70" t="s">
        <v>615</v>
      </c>
      <c r="T189" s="71" t="s">
        <v>46</v>
      </c>
      <c r="U189" s="4">
        <v>1.069</v>
      </c>
      <c r="V189" s="4">
        <v>1.0660000000000001</v>
      </c>
      <c r="AC189" s="57" t="s">
        <v>609</v>
      </c>
      <c r="AD189" s="57" t="s">
        <v>36</v>
      </c>
      <c r="AE189" s="54" t="s">
        <v>610</v>
      </c>
      <c r="AF189" s="55" t="s">
        <v>37</v>
      </c>
      <c r="AG189" s="56" t="s">
        <v>611</v>
      </c>
      <c r="AH189" s="57" t="s">
        <v>46</v>
      </c>
      <c r="AI189" s="59">
        <v>0</v>
      </c>
      <c r="AJ189" s="59" t="s">
        <v>34</v>
      </c>
      <c r="AK189" s="60">
        <v>231</v>
      </c>
      <c r="AM189" s="57" t="s">
        <v>663</v>
      </c>
      <c r="AN189" s="54" t="s">
        <v>656</v>
      </c>
      <c r="AO189" s="55" t="s">
        <v>37</v>
      </c>
      <c r="AP189" s="56" t="s">
        <v>657</v>
      </c>
      <c r="AQ189" s="57" t="s">
        <v>46</v>
      </c>
      <c r="AR189" s="58">
        <v>622033.24</v>
      </c>
    </row>
    <row r="190" spans="1:44">
      <c r="A190" s="35" t="s">
        <v>596</v>
      </c>
      <c r="B190" s="35" t="s">
        <v>36</v>
      </c>
      <c r="C190" s="36" t="s">
        <v>597</v>
      </c>
      <c r="D190" s="37" t="s">
        <v>37</v>
      </c>
      <c r="E190" s="38" t="s">
        <v>598</v>
      </c>
      <c r="F190" s="35" t="s">
        <v>46</v>
      </c>
      <c r="K190" s="412">
        <f t="shared" si="15"/>
        <v>0</v>
      </c>
      <c r="L190" s="417">
        <v>0</v>
      </c>
      <c r="M190" s="417">
        <v>0</v>
      </c>
      <c r="N190" s="4">
        <v>0</v>
      </c>
      <c r="AC190" s="57" t="s">
        <v>600</v>
      </c>
      <c r="AD190" s="57" t="s">
        <v>36</v>
      </c>
      <c r="AE190" s="54" t="s">
        <v>601</v>
      </c>
      <c r="AF190" s="55" t="s">
        <v>37</v>
      </c>
      <c r="AG190" s="56" t="s">
        <v>602</v>
      </c>
      <c r="AH190" s="57" t="s">
        <v>46</v>
      </c>
      <c r="AI190" s="59">
        <v>1</v>
      </c>
      <c r="AJ190" s="59" t="s">
        <v>34</v>
      </c>
      <c r="AK190" s="60">
        <v>173</v>
      </c>
    </row>
    <row r="191" spans="1:44">
      <c r="A191" s="35" t="s">
        <v>609</v>
      </c>
      <c r="B191" s="35" t="s">
        <v>36</v>
      </c>
      <c r="C191" s="36" t="s">
        <v>610</v>
      </c>
      <c r="D191" s="37" t="s">
        <v>37</v>
      </c>
      <c r="E191" s="38" t="s">
        <v>611</v>
      </c>
      <c r="F191" s="35" t="s">
        <v>46</v>
      </c>
      <c r="K191" s="412">
        <f t="shared" si="15"/>
        <v>0</v>
      </c>
      <c r="L191" s="417">
        <v>0</v>
      </c>
      <c r="M191" s="417">
        <v>75.5</v>
      </c>
      <c r="N191" s="4">
        <v>0</v>
      </c>
      <c r="AC191" s="57" t="s">
        <v>604</v>
      </c>
      <c r="AD191" s="57" t="s">
        <v>36</v>
      </c>
      <c r="AE191" s="54" t="s">
        <v>605</v>
      </c>
      <c r="AF191" s="55" t="s">
        <v>37</v>
      </c>
      <c r="AG191" s="56" t="s">
        <v>606</v>
      </c>
      <c r="AH191" s="57" t="s">
        <v>46</v>
      </c>
      <c r="AI191" s="59">
        <v>0</v>
      </c>
      <c r="AJ191" s="59" t="s">
        <v>34</v>
      </c>
      <c r="AK191" s="60">
        <v>159</v>
      </c>
    </row>
    <row r="192" spans="1:44">
      <c r="A192" s="35" t="s">
        <v>600</v>
      </c>
      <c r="B192" s="35" t="s">
        <v>36</v>
      </c>
      <c r="C192" s="36" t="s">
        <v>601</v>
      </c>
      <c r="D192" s="37" t="s">
        <v>37</v>
      </c>
      <c r="E192" s="38" t="s">
        <v>602</v>
      </c>
      <c r="F192" s="35" t="s">
        <v>46</v>
      </c>
      <c r="K192" s="412">
        <f t="shared" si="15"/>
        <v>0</v>
      </c>
      <c r="L192" s="417">
        <v>0</v>
      </c>
      <c r="M192" s="417">
        <v>0</v>
      </c>
      <c r="N192" s="4">
        <v>0</v>
      </c>
      <c r="AC192" s="57" t="s">
        <v>616</v>
      </c>
      <c r="AD192" s="57" t="s">
        <v>129</v>
      </c>
      <c r="AE192" s="54" t="s">
        <v>617</v>
      </c>
      <c r="AF192" s="55" t="s">
        <v>37</v>
      </c>
      <c r="AG192" s="56" t="s">
        <v>618</v>
      </c>
      <c r="AH192" s="57" t="s">
        <v>46</v>
      </c>
      <c r="AI192" s="59">
        <v>1</v>
      </c>
      <c r="AJ192" s="59" t="s">
        <v>34</v>
      </c>
      <c r="AK192" s="60">
        <v>218</v>
      </c>
    </row>
    <row r="193" spans="1:37">
      <c r="A193" s="35" t="s">
        <v>604</v>
      </c>
      <c r="B193" s="35" t="s">
        <v>36</v>
      </c>
      <c r="C193" s="36" t="s">
        <v>605</v>
      </c>
      <c r="D193" s="37" t="s">
        <v>37</v>
      </c>
      <c r="E193" s="38" t="s">
        <v>606</v>
      </c>
      <c r="F193" s="35" t="s">
        <v>46</v>
      </c>
      <c r="K193" s="412">
        <f t="shared" si="15"/>
        <v>0</v>
      </c>
      <c r="L193" s="417">
        <v>0</v>
      </c>
      <c r="M193" s="417">
        <v>34</v>
      </c>
      <c r="N193" s="4">
        <v>0</v>
      </c>
      <c r="AC193" s="57" t="s">
        <v>619</v>
      </c>
      <c r="AD193" s="57" t="s">
        <v>129</v>
      </c>
      <c r="AE193" s="54" t="s">
        <v>620</v>
      </c>
      <c r="AF193" s="55" t="s">
        <v>37</v>
      </c>
      <c r="AG193" s="56" t="s">
        <v>621</v>
      </c>
      <c r="AH193" s="57" t="s">
        <v>46</v>
      </c>
      <c r="AI193" s="59">
        <v>1</v>
      </c>
      <c r="AJ193" s="59" t="s">
        <v>34</v>
      </c>
      <c r="AK193" s="60">
        <v>177</v>
      </c>
    </row>
    <row r="194" spans="1:37">
      <c r="A194" s="35" t="s">
        <v>616</v>
      </c>
      <c r="B194" s="35" t="s">
        <v>129</v>
      </c>
      <c r="C194" s="36" t="s">
        <v>617</v>
      </c>
      <c r="D194" s="37" t="s">
        <v>37</v>
      </c>
      <c r="E194" s="38" t="s">
        <v>618</v>
      </c>
      <c r="F194" s="35" t="s">
        <v>46</v>
      </c>
      <c r="K194" s="412">
        <f t="shared" si="15"/>
        <v>0</v>
      </c>
      <c r="L194" s="417">
        <v>0</v>
      </c>
      <c r="M194" s="417">
        <v>131.5</v>
      </c>
      <c r="N194" s="4">
        <v>0</v>
      </c>
      <c r="AC194" s="57" t="s">
        <v>622</v>
      </c>
      <c r="AD194" s="57" t="s">
        <v>129</v>
      </c>
      <c r="AE194" s="54" t="s">
        <v>623</v>
      </c>
      <c r="AF194" s="55" t="s">
        <v>37</v>
      </c>
      <c r="AG194" s="56" t="s">
        <v>624</v>
      </c>
      <c r="AH194" s="57" t="s">
        <v>46</v>
      </c>
      <c r="AI194" s="59">
        <v>0</v>
      </c>
      <c r="AJ194" s="59" t="s">
        <v>34</v>
      </c>
      <c r="AK194" s="60">
        <v>190</v>
      </c>
    </row>
    <row r="195" spans="1:37">
      <c r="A195" s="35" t="s">
        <v>619</v>
      </c>
      <c r="B195" s="35" t="s">
        <v>129</v>
      </c>
      <c r="C195" s="36" t="s">
        <v>620</v>
      </c>
      <c r="D195" s="37" t="s">
        <v>37</v>
      </c>
      <c r="E195" s="38" t="s">
        <v>621</v>
      </c>
      <c r="F195" s="35" t="s">
        <v>46</v>
      </c>
      <c r="K195" s="412">
        <f t="shared" si="15"/>
        <v>0</v>
      </c>
      <c r="L195" s="417">
        <v>0</v>
      </c>
      <c r="M195" s="417">
        <v>150</v>
      </c>
      <c r="N195" s="4">
        <v>0</v>
      </c>
      <c r="AC195" s="57" t="s">
        <v>631</v>
      </c>
      <c r="AD195" s="57" t="s">
        <v>36</v>
      </c>
      <c r="AE195" s="54" t="s">
        <v>632</v>
      </c>
      <c r="AF195" s="55" t="s">
        <v>37</v>
      </c>
      <c r="AG195" s="56" t="s">
        <v>633</v>
      </c>
      <c r="AH195" s="57" t="s">
        <v>46</v>
      </c>
      <c r="AI195" s="59">
        <v>0</v>
      </c>
      <c r="AJ195" s="59" t="s">
        <v>34</v>
      </c>
      <c r="AK195" s="60">
        <v>116</v>
      </c>
    </row>
    <row r="196" spans="1:37">
      <c r="A196" s="35" t="s">
        <v>622</v>
      </c>
      <c r="B196" s="35" t="s">
        <v>129</v>
      </c>
      <c r="C196" s="36" t="s">
        <v>623</v>
      </c>
      <c r="D196" s="37" t="s">
        <v>37</v>
      </c>
      <c r="E196" s="38" t="s">
        <v>624</v>
      </c>
      <c r="F196" s="35" t="s">
        <v>46</v>
      </c>
      <c r="K196" s="412">
        <f t="shared" si="15"/>
        <v>0</v>
      </c>
      <c r="L196" s="417">
        <v>0</v>
      </c>
      <c r="M196" s="417">
        <v>112.5</v>
      </c>
      <c r="N196" s="4">
        <v>0</v>
      </c>
      <c r="AC196" s="57" t="s">
        <v>635</v>
      </c>
      <c r="AD196" s="57" t="s">
        <v>36</v>
      </c>
      <c r="AE196" s="54" t="s">
        <v>636</v>
      </c>
      <c r="AF196" s="55" t="s">
        <v>37</v>
      </c>
      <c r="AG196" s="56" t="s">
        <v>637</v>
      </c>
      <c r="AH196" s="57" t="s">
        <v>46</v>
      </c>
      <c r="AI196" s="59">
        <v>4</v>
      </c>
      <c r="AJ196" s="59" t="s">
        <v>34</v>
      </c>
      <c r="AK196" s="60">
        <v>246</v>
      </c>
    </row>
    <row r="197" spans="1:37">
      <c r="A197" s="35" t="s">
        <v>631</v>
      </c>
      <c r="B197" s="35" t="s">
        <v>36</v>
      </c>
      <c r="C197" s="36" t="s">
        <v>632</v>
      </c>
      <c r="D197" s="37" t="s">
        <v>37</v>
      </c>
      <c r="E197" s="38" t="s">
        <v>633</v>
      </c>
      <c r="F197" s="35" t="s">
        <v>46</v>
      </c>
      <c r="K197" s="412">
        <f t="shared" si="15"/>
        <v>0</v>
      </c>
      <c r="L197" s="417">
        <v>0</v>
      </c>
      <c r="M197" s="417">
        <v>8</v>
      </c>
      <c r="N197" s="4">
        <v>0</v>
      </c>
      <c r="AC197" s="53" t="s">
        <v>639</v>
      </c>
      <c r="AD197" s="57" t="s">
        <v>28</v>
      </c>
      <c r="AE197" s="54" t="s">
        <v>640</v>
      </c>
      <c r="AF197" s="55" t="s">
        <v>37</v>
      </c>
      <c r="AG197" s="56" t="s">
        <v>641</v>
      </c>
      <c r="AH197" s="57" t="s">
        <v>46</v>
      </c>
      <c r="AI197" s="59">
        <v>2</v>
      </c>
      <c r="AJ197" s="59" t="s">
        <v>34</v>
      </c>
      <c r="AK197" s="60">
        <v>319</v>
      </c>
    </row>
    <row r="198" spans="1:37">
      <c r="A198" s="35" t="s">
        <v>635</v>
      </c>
      <c r="B198" s="35" t="s">
        <v>36</v>
      </c>
      <c r="C198" s="36" t="s">
        <v>636</v>
      </c>
      <c r="D198" s="37" t="s">
        <v>37</v>
      </c>
      <c r="E198" s="38" t="s">
        <v>637</v>
      </c>
      <c r="F198" s="35" t="s">
        <v>46</v>
      </c>
      <c r="K198" s="412">
        <f t="shared" si="15"/>
        <v>0</v>
      </c>
      <c r="L198" s="417">
        <v>0</v>
      </c>
      <c r="M198" s="417">
        <v>0</v>
      </c>
      <c r="N198" s="4">
        <v>0</v>
      </c>
      <c r="AC198" s="53" t="s">
        <v>647</v>
      </c>
      <c r="AD198" s="57" t="s">
        <v>28</v>
      </c>
      <c r="AE198" s="54" t="s">
        <v>648</v>
      </c>
      <c r="AF198" s="55" t="s">
        <v>37</v>
      </c>
      <c r="AG198" s="56" t="s">
        <v>649</v>
      </c>
      <c r="AH198" s="57" t="s">
        <v>46</v>
      </c>
      <c r="AI198" s="59">
        <v>1</v>
      </c>
      <c r="AJ198" s="59" t="s">
        <v>34</v>
      </c>
      <c r="AK198" s="60">
        <v>656.5</v>
      </c>
    </row>
    <row r="199" spans="1:37">
      <c r="A199" s="48" t="s">
        <v>639</v>
      </c>
      <c r="B199" s="35" t="s">
        <v>28</v>
      </c>
      <c r="C199" s="36" t="s">
        <v>640</v>
      </c>
      <c r="D199" s="37" t="s">
        <v>37</v>
      </c>
      <c r="E199" s="38" t="s">
        <v>641</v>
      </c>
      <c r="F199" s="35" t="s">
        <v>46</v>
      </c>
      <c r="K199" s="412">
        <f t="shared" si="15"/>
        <v>0</v>
      </c>
      <c r="L199" s="417">
        <v>0</v>
      </c>
      <c r="M199" s="417">
        <v>38.5</v>
      </c>
      <c r="N199" s="4">
        <v>0</v>
      </c>
      <c r="AC199" s="53" t="s">
        <v>651</v>
      </c>
      <c r="AD199" s="57" t="s">
        <v>36</v>
      </c>
      <c r="AE199" s="54" t="s">
        <v>557</v>
      </c>
      <c r="AF199" s="55" t="s">
        <v>37</v>
      </c>
      <c r="AG199" s="56" t="s">
        <v>558</v>
      </c>
      <c r="AH199" s="57" t="s">
        <v>46</v>
      </c>
      <c r="AI199" s="59">
        <v>1</v>
      </c>
      <c r="AJ199" s="59" t="s">
        <v>34</v>
      </c>
      <c r="AK199" s="60">
        <v>351</v>
      </c>
    </row>
    <row r="200" spans="1:37">
      <c r="A200" s="48" t="s">
        <v>647</v>
      </c>
      <c r="B200" s="35" t="s">
        <v>28</v>
      </c>
      <c r="C200" s="36" t="s">
        <v>648</v>
      </c>
      <c r="D200" s="37" t="s">
        <v>37</v>
      </c>
      <c r="E200" s="38" t="s">
        <v>649</v>
      </c>
      <c r="F200" s="35" t="s">
        <v>46</v>
      </c>
      <c r="K200" s="412">
        <f t="shared" si="15"/>
        <v>0</v>
      </c>
      <c r="L200" s="417">
        <v>0</v>
      </c>
      <c r="M200" s="417">
        <v>0</v>
      </c>
      <c r="N200" s="4">
        <v>0</v>
      </c>
      <c r="AC200" s="57" t="s">
        <v>655</v>
      </c>
      <c r="AD200" s="57" t="s">
        <v>366</v>
      </c>
      <c r="AE200" s="54" t="s">
        <v>656</v>
      </c>
      <c r="AF200" s="55" t="s">
        <v>37</v>
      </c>
      <c r="AG200" s="56" t="s">
        <v>657</v>
      </c>
      <c r="AH200" s="57" t="s">
        <v>46</v>
      </c>
      <c r="AI200" s="59">
        <v>0</v>
      </c>
      <c r="AJ200" s="59" t="s">
        <v>34</v>
      </c>
      <c r="AK200" s="60">
        <v>54</v>
      </c>
    </row>
    <row r="201" spans="1:37" ht="14.4">
      <c r="A201" s="48" t="s">
        <v>651</v>
      </c>
      <c r="B201" s="35" t="s">
        <v>36</v>
      </c>
      <c r="C201" s="36" t="s">
        <v>557</v>
      </c>
      <c r="D201" s="37" t="s">
        <v>37</v>
      </c>
      <c r="E201" s="38" t="s">
        <v>558</v>
      </c>
      <c r="F201" s="35" t="s">
        <v>46</v>
      </c>
      <c r="K201" s="412">
        <f t="shared" si="15"/>
        <v>0</v>
      </c>
      <c r="L201" s="417">
        <v>0</v>
      </c>
      <c r="M201" s="417">
        <v>532.5</v>
      </c>
      <c r="N201" s="4">
        <v>0</v>
      </c>
      <c r="AC201" s="70" t="s">
        <v>224</v>
      </c>
      <c r="AG201" s="70" t="s">
        <v>226</v>
      </c>
      <c r="AH201" s="4" t="s">
        <v>32</v>
      </c>
      <c r="AJ201" s="4" t="s">
        <v>577</v>
      </c>
    </row>
    <row r="202" spans="1:37" ht="14.4">
      <c r="A202" s="35" t="s">
        <v>655</v>
      </c>
      <c r="B202" s="35" t="s">
        <v>366</v>
      </c>
      <c r="C202" s="36" t="s">
        <v>656</v>
      </c>
      <c r="D202" s="37" t="s">
        <v>37</v>
      </c>
      <c r="E202" s="38" t="s">
        <v>657</v>
      </c>
      <c r="F202" s="35" t="s">
        <v>46</v>
      </c>
      <c r="K202" s="412">
        <f t="shared" si="15"/>
        <v>0</v>
      </c>
      <c r="L202" s="417">
        <v>0</v>
      </c>
      <c r="M202" s="417">
        <v>0</v>
      </c>
      <c r="N202" s="4">
        <v>0</v>
      </c>
      <c r="AC202" s="70" t="s">
        <v>583</v>
      </c>
      <c r="AG202" s="70" t="s">
        <v>615</v>
      </c>
      <c r="AH202" s="71" t="s">
        <v>46</v>
      </c>
      <c r="AJ202" s="4" t="s">
        <v>577</v>
      </c>
    </row>
    <row r="203" spans="1:37">
      <c r="A203" s="17" t="s">
        <v>664</v>
      </c>
      <c r="B203" s="21"/>
      <c r="C203" s="18"/>
      <c r="D203" s="21"/>
      <c r="E203" s="21"/>
      <c r="F203" s="21"/>
      <c r="K203" s="413">
        <v>62244.5</v>
      </c>
      <c r="L203" s="421">
        <v>65177</v>
      </c>
      <c r="M203" s="421">
        <v>156395.5</v>
      </c>
      <c r="N203" s="4">
        <v>62244.5</v>
      </c>
    </row>
    <row r="204" spans="1:37">
      <c r="K204" s="412">
        <f>MIN($L204,MAX($M204,$N204))</f>
        <v>0</v>
      </c>
      <c r="L204" s="422"/>
      <c r="M204" s="422"/>
    </row>
    <row r="205" spans="1:37">
      <c r="A205" s="16" t="s">
        <v>665</v>
      </c>
      <c r="B205" s="21"/>
      <c r="C205" s="18"/>
      <c r="D205" s="21"/>
      <c r="E205" s="21"/>
      <c r="F205" s="21"/>
    </row>
    <row r="206" spans="1:37">
      <c r="A206" s="21" t="s">
        <v>666</v>
      </c>
      <c r="B206" s="21"/>
      <c r="C206" s="18"/>
      <c r="D206" s="21"/>
      <c r="E206" s="21"/>
      <c r="F206" s="21"/>
    </row>
  </sheetData>
  <sheetProtection selectLockedCells="1" selectUnlockedCells="1"/>
  <autoFilter ref="A2:BD206"/>
  <printOptions horizontalCentered="1"/>
  <pageMargins left="0.2" right="0.2" top="0.5" bottom="0.75" header="0" footer="0.3"/>
  <pageSetup scale="3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9EFE62E5E8114FA28F1EE2E53FE30E" ma:contentTypeVersion="1" ma:contentTypeDescription="Create a new document." ma:contentTypeScope="" ma:versionID="abb5f11603e0f0a030d026d28977c388">
  <xsd:schema xmlns:xsd="http://www.w3.org/2001/XMLSchema" xmlns:xs="http://www.w3.org/2001/XMLSchema" xmlns:p="http://schemas.microsoft.com/office/2006/metadata/properties" xmlns:ns2="f31b0f60-fd0c-42a1-8924-8e870d476e8f" targetNamespace="http://schemas.microsoft.com/office/2006/metadata/properties" ma:root="true" ma:fieldsID="d1476ff42fd900919167a4dfdca23b4a" ns2:_="">
    <xsd:import namespace="f31b0f60-fd0c-42a1-8924-8e870d476e8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1b0f60-fd0c-42a1-8924-8e870d476e8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476E2F-0BA5-40EA-BF86-1E2DA5F2D7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1b0f60-fd0c-42a1-8924-8e870d476e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8946F0-97D9-4F5F-9BD9-F409647DDB27}">
  <ds:schemaRefs>
    <ds:schemaRef ds:uri="http://schemas.microsoft.com/sharepoint/v3/contenttype/forms"/>
  </ds:schemaRefs>
</ds:datastoreItem>
</file>

<file path=customXml/itemProps3.xml><?xml version="1.0" encoding="utf-8"?>
<ds:datastoreItem xmlns:ds="http://schemas.openxmlformats.org/officeDocument/2006/customXml" ds:itemID="{A5595C54-B520-4829-A163-D99C7C1D2CD3}">
  <ds:schemaRefs>
    <ds:schemaRef ds:uri="f31b0f60-fd0c-42a1-8924-8e870d476e8f"/>
    <ds:schemaRef ds:uri="http://www.w3.org/XML/1998/namespace"/>
    <ds:schemaRef ds:uri="http://purl.org/dc/terms/"/>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80-120</vt:lpstr>
      <vt:lpstr>AVG</vt:lpstr>
      <vt:lpstr>Estimated SEG FY22</vt:lpstr>
      <vt:lpstr>PED_ONLY</vt:lpstr>
      <vt:lpstr>PED_DATA_ONLY</vt:lpstr>
      <vt:lpstr>PED_ONLY!Print_Area</vt:lpstr>
      <vt:lpstr>'Estimated SEG FY22'!Print_Titles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Cordova</dc:creator>
  <cp:lastModifiedBy>Sara Cordova</cp:lastModifiedBy>
  <cp:lastPrinted>2021-04-09T20:06:43Z</cp:lastPrinted>
  <dcterms:created xsi:type="dcterms:W3CDTF">2021-04-09T19:41:02Z</dcterms:created>
  <dcterms:modified xsi:type="dcterms:W3CDTF">2021-04-13T22:20:16Z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0x010100A69EFE62E5E8114FA28F1EE2E53FE30E</vt:lpwstr>
  </property>
</Properties>
</file>