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OpBud_Startup/Shared Documents/FY22forFY23/Wkbk_Forms_Web Updates/"/>
    </mc:Choice>
  </mc:AlternateContent>
  <xr:revisionPtr revIDLastSave="0" documentId="13_ncr:1_{703C924C-532A-411C-862E-586E1A34154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ver" sheetId="1" r:id="rId1"/>
    <sheet name="01 OpBud 901B-10" sheetId="3" r:id="rId2"/>
    <sheet name="01OpBud SLRY Assurance Art10A_8" sheetId="4" r:id="rId3"/>
    <sheet name="PED_ONLY" sheetId="5" r:id="rId4"/>
    <sheet name="PED_ONLY2" sheetId="7" r:id="rId5"/>
  </sheets>
  <definedNames>
    <definedName name="_xlnm._FilterDatabase" localSheetId="4" hidden="1">PED_ONLY2!$A$1:$K$257</definedName>
    <definedName name="Entity_List">OFFSET(#REF!,,,COUNTIF(#REF!,"?*")-1)</definedName>
    <definedName name="_xlnm.Print_Area" localSheetId="1">'01 OpBud 901B-10'!$B$6:$L$51</definedName>
    <definedName name="_xlnm.Print_Area" localSheetId="2">'01OpBud SLRY Assurance Art10A_8'!$A$5:$J$127</definedName>
    <definedName name="_xlnm.Print_Area" localSheetId="0">Cover!$A$1:$H$43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8" i="4" l="1"/>
  <c r="A95" i="4"/>
  <c r="G5" i="3"/>
  <c r="F4" i="4"/>
  <c r="A20" i="4" l="1"/>
  <c r="G50" i="4" l="1"/>
  <c r="E10" i="1"/>
  <c r="H127" i="4" s="1"/>
  <c r="A47" i="4"/>
  <c r="G51" i="4"/>
  <c r="G52" i="4"/>
  <c r="G53" i="4"/>
  <c r="G54" i="4"/>
  <c r="G55" i="4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" i="7"/>
  <c r="G11" i="1"/>
  <c r="B16" i="3" s="1"/>
  <c r="H9" i="1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G6" i="7"/>
  <c r="H6" i="7" s="1"/>
  <c r="H14" i="1"/>
  <c r="H17" i="1" s="1"/>
  <c r="H20" i="3" s="1"/>
  <c r="B127" i="4"/>
  <c r="D9" i="3"/>
  <c r="H16" i="1"/>
  <c r="E24" i="1" l="1"/>
  <c r="E29" i="1"/>
  <c r="B12" i="3"/>
  <c r="G41" i="7"/>
  <c r="H41" i="7" s="1"/>
  <c r="G89" i="7"/>
  <c r="H89" i="7" s="1"/>
  <c r="G7" i="7"/>
  <c r="H7" i="7" s="1"/>
  <c r="F127" i="4"/>
  <c r="A8" i="1"/>
  <c r="B13" i="3"/>
  <c r="G24" i="7"/>
  <c r="H24" i="7" s="1"/>
  <c r="G9" i="7"/>
  <c r="H9" i="7" s="1"/>
  <c r="G23" i="7"/>
  <c r="H23" i="7" s="1"/>
  <c r="C10" i="3"/>
  <c r="G75" i="7"/>
  <c r="H75" i="7" s="1"/>
  <c r="G112" i="7"/>
  <c r="H112" i="7" s="1"/>
  <c r="G55" i="7"/>
  <c r="H55" i="7" s="1"/>
  <c r="G22" i="7"/>
  <c r="H22" i="7" s="1"/>
  <c r="G39" i="7"/>
  <c r="H39" i="7" s="1"/>
  <c r="G97" i="7"/>
  <c r="H97" i="7" s="1"/>
  <c r="G46" i="7"/>
  <c r="H46" i="7" s="1"/>
  <c r="G14" i="7"/>
  <c r="H14" i="7" s="1"/>
  <c r="G198" i="7"/>
  <c r="H198" i="7" s="1"/>
  <c r="I198" i="7" s="1"/>
  <c r="G96" i="7"/>
  <c r="H96" i="7" s="1"/>
  <c r="G70" i="7"/>
  <c r="H70" i="7" s="1"/>
  <c r="G33" i="7"/>
  <c r="H33" i="7" s="1"/>
  <c r="G172" i="7"/>
  <c r="H172" i="7" s="1"/>
  <c r="G64" i="7"/>
  <c r="H64" i="7" s="1"/>
  <c r="G32" i="7"/>
  <c r="H32" i="7" s="1"/>
  <c r="G3" i="7"/>
  <c r="H3" i="7" s="1"/>
  <c r="G141" i="7"/>
  <c r="H141" i="7" s="1"/>
  <c r="G57" i="7"/>
  <c r="H57" i="7" s="1"/>
  <c r="G121" i="7"/>
  <c r="H121" i="7" s="1"/>
  <c r="G56" i="7"/>
  <c r="H56" i="7" s="1"/>
  <c r="K9" i="3"/>
  <c r="F20" i="3"/>
  <c r="B7" i="3"/>
  <c r="J31" i="3"/>
  <c r="B34" i="3"/>
  <c r="B15" i="3"/>
  <c r="F34" i="3"/>
  <c r="B37" i="3"/>
  <c r="B6" i="3"/>
  <c r="J34" i="3"/>
  <c r="B19" i="3"/>
  <c r="F37" i="3"/>
  <c r="B27" i="3"/>
  <c r="B31" i="3"/>
  <c r="J37" i="3"/>
  <c r="F31" i="3"/>
  <c r="B9" i="3"/>
  <c r="G161" i="7"/>
  <c r="H161" i="7" s="1"/>
  <c r="G110" i="7"/>
  <c r="H110" i="7" s="1"/>
  <c r="G43" i="7"/>
  <c r="H43" i="7" s="1"/>
  <c r="G213" i="7"/>
  <c r="H213" i="7" s="1"/>
  <c r="I213" i="7" s="1"/>
  <c r="G174" i="7"/>
  <c r="H174" i="7" s="1"/>
  <c r="G160" i="7"/>
  <c r="H160" i="7" s="1"/>
  <c r="G142" i="7"/>
  <c r="H142" i="7" s="1"/>
  <c r="G123" i="7"/>
  <c r="H123" i="7" s="1"/>
  <c r="G109" i="7"/>
  <c r="H109" i="7" s="1"/>
  <c r="G215" i="7"/>
  <c r="H215" i="7" s="1"/>
  <c r="I215" i="7" s="1"/>
  <c r="G222" i="7"/>
  <c r="H222" i="7" s="1"/>
  <c r="I222" i="7" s="1"/>
  <c r="G234" i="7"/>
  <c r="H234" i="7" s="1"/>
  <c r="I234" i="7" s="1"/>
  <c r="G248" i="7"/>
  <c r="H248" i="7" s="1"/>
  <c r="I248" i="7" s="1"/>
  <c r="G252" i="7"/>
  <c r="H252" i="7" s="1"/>
  <c r="I252" i="7" s="1"/>
  <c r="G212" i="7"/>
  <c r="H212" i="7" s="1"/>
  <c r="I212" i="7" s="1"/>
  <c r="G208" i="7"/>
  <c r="H208" i="7" s="1"/>
  <c r="I208" i="7" s="1"/>
  <c r="G194" i="7"/>
  <c r="H194" i="7" s="1"/>
  <c r="I194" i="7" s="1"/>
  <c r="G5" i="7"/>
  <c r="H5" i="7" s="1"/>
  <c r="G15" i="7"/>
  <c r="H15" i="7" s="1"/>
  <c r="G25" i="7"/>
  <c r="H25" i="7" s="1"/>
  <c r="G37" i="7"/>
  <c r="H37" i="7" s="1"/>
  <c r="G218" i="7"/>
  <c r="H218" i="7" s="1"/>
  <c r="I218" i="7" s="1"/>
  <c r="G204" i="7"/>
  <c r="H204" i="7" s="1"/>
  <c r="I204" i="7" s="1"/>
  <c r="G200" i="7"/>
  <c r="H200" i="7" s="1"/>
  <c r="I200" i="7" s="1"/>
  <c r="G17" i="7"/>
  <c r="H17" i="7" s="1"/>
  <c r="G29" i="7"/>
  <c r="H29" i="7" s="1"/>
  <c r="G49" i="7"/>
  <c r="H49" i="7" s="1"/>
  <c r="G61" i="7"/>
  <c r="H61" i="7" s="1"/>
  <c r="G71" i="7"/>
  <c r="H71" i="7" s="1"/>
  <c r="G81" i="7"/>
  <c r="H81" i="7" s="1"/>
  <c r="G93" i="7"/>
  <c r="H93" i="7" s="1"/>
  <c r="G103" i="7"/>
  <c r="H103" i="7" s="1"/>
  <c r="G113" i="7"/>
  <c r="H113" i="7" s="1"/>
  <c r="G125" i="7"/>
  <c r="H125" i="7" s="1"/>
  <c r="G135" i="7"/>
  <c r="H135" i="7" s="1"/>
  <c r="G145" i="7"/>
  <c r="H145" i="7" s="1"/>
  <c r="G157" i="7"/>
  <c r="H157" i="7" s="1"/>
  <c r="G167" i="7"/>
  <c r="H167" i="7" s="1"/>
  <c r="G176" i="7"/>
  <c r="H176" i="7" s="1"/>
  <c r="G185" i="7"/>
  <c r="H185" i="7" s="1"/>
  <c r="G254" i="7"/>
  <c r="H254" i="7" s="1"/>
  <c r="I254" i="7" s="1"/>
  <c r="G246" i="7"/>
  <c r="H246" i="7" s="1"/>
  <c r="I246" i="7" s="1"/>
  <c r="G238" i="7"/>
  <c r="H238" i="7" s="1"/>
  <c r="I238" i="7" s="1"/>
  <c r="G230" i="7"/>
  <c r="H230" i="7" s="1"/>
  <c r="I230" i="7" s="1"/>
  <c r="G221" i="7"/>
  <c r="H221" i="7" s="1"/>
  <c r="I221" i="7" s="1"/>
  <c r="G214" i="7"/>
  <c r="H214" i="7" s="1"/>
  <c r="I214" i="7" s="1"/>
  <c r="G207" i="7"/>
  <c r="H207" i="7" s="1"/>
  <c r="I207" i="7" s="1"/>
  <c r="G189" i="7"/>
  <c r="H189" i="7" s="1"/>
  <c r="G8" i="7"/>
  <c r="H8" i="7" s="1"/>
  <c r="G19" i="7"/>
  <c r="H19" i="7" s="1"/>
  <c r="G30" i="7"/>
  <c r="H30" i="7" s="1"/>
  <c r="G40" i="7"/>
  <c r="H40" i="7" s="1"/>
  <c r="G51" i="7"/>
  <c r="H51" i="7" s="1"/>
  <c r="G62" i="7"/>
  <c r="H62" i="7" s="1"/>
  <c r="G72" i="7"/>
  <c r="H72" i="7" s="1"/>
  <c r="G83" i="7"/>
  <c r="H83" i="7" s="1"/>
  <c r="G94" i="7"/>
  <c r="H94" i="7" s="1"/>
  <c r="G104" i="7"/>
  <c r="H104" i="7" s="1"/>
  <c r="G115" i="7"/>
  <c r="H115" i="7" s="1"/>
  <c r="G126" i="7"/>
  <c r="H126" i="7" s="1"/>
  <c r="G136" i="7"/>
  <c r="H136" i="7" s="1"/>
  <c r="G147" i="7"/>
  <c r="H147" i="7" s="1"/>
  <c r="G158" i="7"/>
  <c r="H158" i="7" s="1"/>
  <c r="G168" i="7"/>
  <c r="H168" i="7" s="1"/>
  <c r="G177" i="7"/>
  <c r="H177" i="7" s="1"/>
  <c r="G187" i="7"/>
  <c r="H187" i="7" s="1"/>
  <c r="G224" i="7"/>
  <c r="H224" i="7" s="1"/>
  <c r="I224" i="7" s="1"/>
  <c r="G210" i="7"/>
  <c r="H210" i="7" s="1"/>
  <c r="I210" i="7" s="1"/>
  <c r="G196" i="7"/>
  <c r="H196" i="7" s="1"/>
  <c r="I196" i="7" s="1"/>
  <c r="G192" i="7"/>
  <c r="H192" i="7" s="1"/>
  <c r="I192" i="7" s="1"/>
  <c r="G21" i="7"/>
  <c r="H21" i="7" s="1"/>
  <c r="G31" i="7"/>
  <c r="H31" i="7" s="1"/>
  <c r="G53" i="7"/>
  <c r="H53" i="7" s="1"/>
  <c r="G63" i="7"/>
  <c r="H63" i="7" s="1"/>
  <c r="G73" i="7"/>
  <c r="H73" i="7" s="1"/>
  <c r="G85" i="7"/>
  <c r="H85" i="7" s="1"/>
  <c r="G95" i="7"/>
  <c r="H95" i="7" s="1"/>
  <c r="G105" i="7"/>
  <c r="H105" i="7" s="1"/>
  <c r="G117" i="7"/>
  <c r="H117" i="7" s="1"/>
  <c r="G127" i="7"/>
  <c r="H127" i="7" s="1"/>
  <c r="G137" i="7"/>
  <c r="H137" i="7" s="1"/>
  <c r="G149" i="7"/>
  <c r="H149" i="7" s="1"/>
  <c r="G159" i="7"/>
  <c r="H159" i="7" s="1"/>
  <c r="G169" i="7"/>
  <c r="H169" i="7" s="1"/>
  <c r="G179" i="7"/>
  <c r="H179" i="7" s="1"/>
  <c r="G255" i="7"/>
  <c r="H255" i="7" s="1"/>
  <c r="I255" i="7" s="1"/>
  <c r="G184" i="7"/>
  <c r="H184" i="7" s="1"/>
  <c r="G153" i="7"/>
  <c r="H153" i="7" s="1"/>
  <c r="G139" i="7"/>
  <c r="H139" i="7" s="1"/>
  <c r="G120" i="7"/>
  <c r="H120" i="7" s="1"/>
  <c r="G102" i="7"/>
  <c r="H102" i="7" s="1"/>
  <c r="G87" i="7"/>
  <c r="H87" i="7" s="1"/>
  <c r="G69" i="7"/>
  <c r="H69" i="7" s="1"/>
  <c r="G54" i="7"/>
  <c r="H54" i="7" s="1"/>
  <c r="G38" i="7"/>
  <c r="H38" i="7" s="1"/>
  <c r="G16" i="7"/>
  <c r="H16" i="7" s="1"/>
  <c r="G188" i="7"/>
  <c r="H188" i="7" s="1"/>
  <c r="G202" i="7"/>
  <c r="H202" i="7" s="1"/>
  <c r="I202" i="7" s="1"/>
  <c r="G216" i="7"/>
  <c r="H216" i="7" s="1"/>
  <c r="I216" i="7" s="1"/>
  <c r="G228" i="7"/>
  <c r="H228" i="7" s="1"/>
  <c r="I228" i="7" s="1"/>
  <c r="G242" i="7"/>
  <c r="H242" i="7" s="1"/>
  <c r="I242" i="7" s="1"/>
  <c r="G257" i="7"/>
  <c r="H257" i="7" s="1"/>
  <c r="I257" i="7" s="1"/>
  <c r="G128" i="7"/>
  <c r="H128" i="7" s="1"/>
  <c r="G91" i="7"/>
  <c r="H91" i="7" s="1"/>
  <c r="G199" i="7"/>
  <c r="H199" i="7" s="1"/>
  <c r="I199" i="7" s="1"/>
  <c r="G173" i="7"/>
  <c r="H173" i="7" s="1"/>
  <c r="G155" i="7"/>
  <c r="H155" i="7" s="1"/>
  <c r="G107" i="7"/>
  <c r="H107" i="7" s="1"/>
  <c r="G223" i="7"/>
  <c r="H223" i="7" s="1"/>
  <c r="I223" i="7" s="1"/>
  <c r="G183" i="7"/>
  <c r="H183" i="7" s="1"/>
  <c r="G171" i="7"/>
  <c r="H171" i="7" s="1"/>
  <c r="G152" i="7"/>
  <c r="H152" i="7" s="1"/>
  <c r="G134" i="7"/>
  <c r="H134" i="7" s="1"/>
  <c r="G119" i="7"/>
  <c r="H119" i="7" s="1"/>
  <c r="G101" i="7"/>
  <c r="H101" i="7" s="1"/>
  <c r="G86" i="7"/>
  <c r="H86" i="7" s="1"/>
  <c r="G67" i="7"/>
  <c r="H67" i="7" s="1"/>
  <c r="G48" i="7"/>
  <c r="H48" i="7" s="1"/>
  <c r="G35" i="7"/>
  <c r="H35" i="7" s="1"/>
  <c r="G88" i="7"/>
  <c r="H88" i="7" s="1"/>
  <c r="G182" i="7"/>
  <c r="H182" i="7" s="1"/>
  <c r="G166" i="7"/>
  <c r="H166" i="7" s="1"/>
  <c r="G151" i="7"/>
  <c r="H151" i="7" s="1"/>
  <c r="G133" i="7"/>
  <c r="H133" i="7" s="1"/>
  <c r="G118" i="7"/>
  <c r="H118" i="7" s="1"/>
  <c r="G99" i="7"/>
  <c r="H99" i="7" s="1"/>
  <c r="G80" i="7"/>
  <c r="H80" i="7" s="1"/>
  <c r="G65" i="7"/>
  <c r="H65" i="7" s="1"/>
  <c r="G47" i="7"/>
  <c r="H47" i="7" s="1"/>
  <c r="G13" i="7"/>
  <c r="H13" i="7" s="1"/>
  <c r="G190" i="7"/>
  <c r="H190" i="7" s="1"/>
  <c r="G197" i="7"/>
  <c r="H197" i="7" s="1"/>
  <c r="I197" i="7" s="1"/>
  <c r="G232" i="7"/>
  <c r="H232" i="7" s="1"/>
  <c r="I232" i="7" s="1"/>
  <c r="G236" i="7"/>
  <c r="H236" i="7" s="1"/>
  <c r="I236" i="7" s="1"/>
  <c r="G250" i="7"/>
  <c r="H250" i="7" s="1"/>
  <c r="I250" i="7" s="1"/>
  <c r="G175" i="7"/>
  <c r="H175" i="7" s="1"/>
  <c r="G165" i="7"/>
  <c r="H165" i="7" s="1"/>
  <c r="G131" i="7"/>
  <c r="H131" i="7" s="1"/>
  <c r="G79" i="7"/>
  <c r="H79" i="7" s="1"/>
  <c r="G191" i="7"/>
  <c r="H191" i="7" s="1"/>
  <c r="G205" i="7"/>
  <c r="H205" i="7" s="1"/>
  <c r="I205" i="7" s="1"/>
  <c r="G143" i="7"/>
  <c r="H143" i="7" s="1"/>
  <c r="G77" i="7"/>
  <c r="H77" i="7" s="1"/>
  <c r="G206" i="7"/>
  <c r="H206" i="7" s="1"/>
  <c r="I206" i="7" s="1"/>
  <c r="G181" i="7"/>
  <c r="H181" i="7" s="1"/>
  <c r="G150" i="7"/>
  <c r="H150" i="7" s="1"/>
  <c r="G11" i="7"/>
  <c r="H11" i="7" s="1"/>
  <c r="G180" i="7"/>
  <c r="H180" i="7" s="1"/>
  <c r="G163" i="7"/>
  <c r="H163" i="7" s="1"/>
  <c r="G144" i="7"/>
  <c r="H144" i="7" s="1"/>
  <c r="G129" i="7"/>
  <c r="H129" i="7" s="1"/>
  <c r="G111" i="7"/>
  <c r="H111" i="7" s="1"/>
  <c r="G78" i="7"/>
  <c r="H78" i="7" s="1"/>
  <c r="G59" i="7"/>
  <c r="H59" i="7" s="1"/>
  <c r="G45" i="7"/>
  <c r="H45" i="7" s="1"/>
  <c r="G27" i="7"/>
  <c r="H27" i="7" s="1"/>
  <c r="G220" i="7"/>
  <c r="H220" i="7" s="1"/>
  <c r="I220" i="7" s="1"/>
  <c r="G226" i="7"/>
  <c r="H226" i="7" s="1"/>
  <c r="I226" i="7" s="1"/>
  <c r="G240" i="7"/>
  <c r="H240" i="7" s="1"/>
  <c r="I240" i="7" s="1"/>
  <c r="G244" i="7"/>
  <c r="H244" i="7" s="1"/>
  <c r="I244" i="7" s="1"/>
  <c r="G164" i="7"/>
  <c r="H164" i="7" s="1"/>
  <c r="G156" i="7"/>
  <c r="H156" i="7" s="1"/>
  <c r="G148" i="7"/>
  <c r="H148" i="7" s="1"/>
  <c r="G140" i="7"/>
  <c r="H140" i="7" s="1"/>
  <c r="G132" i="7"/>
  <c r="H132" i="7" s="1"/>
  <c r="G124" i="7"/>
  <c r="H124" i="7" s="1"/>
  <c r="G116" i="7"/>
  <c r="H116" i="7" s="1"/>
  <c r="G108" i="7"/>
  <c r="H108" i="7" s="1"/>
  <c r="G100" i="7"/>
  <c r="H100" i="7" s="1"/>
  <c r="G92" i="7"/>
  <c r="H92" i="7" s="1"/>
  <c r="G84" i="7"/>
  <c r="H84" i="7" s="1"/>
  <c r="G76" i="7"/>
  <c r="H76" i="7" s="1"/>
  <c r="G68" i="7"/>
  <c r="H68" i="7" s="1"/>
  <c r="G60" i="7"/>
  <c r="H60" i="7" s="1"/>
  <c r="G52" i="7"/>
  <c r="H52" i="7" s="1"/>
  <c r="G44" i="7"/>
  <c r="H44" i="7" s="1"/>
  <c r="G36" i="7"/>
  <c r="H36" i="7" s="1"/>
  <c r="G28" i="7"/>
  <c r="H28" i="7" s="1"/>
  <c r="G20" i="7"/>
  <c r="H20" i="7" s="1"/>
  <c r="G12" i="7"/>
  <c r="H12" i="7" s="1"/>
  <c r="G4" i="7"/>
  <c r="H4" i="7" s="1"/>
  <c r="G195" i="7"/>
  <c r="H195" i="7" s="1"/>
  <c r="I195" i="7" s="1"/>
  <c r="G203" i="7"/>
  <c r="H203" i="7" s="1"/>
  <c r="I203" i="7" s="1"/>
  <c r="G211" i="7"/>
  <c r="H211" i="7" s="1"/>
  <c r="I211" i="7" s="1"/>
  <c r="G219" i="7"/>
  <c r="H219" i="7" s="1"/>
  <c r="I219" i="7" s="1"/>
  <c r="G256" i="7"/>
  <c r="H256" i="7" s="1"/>
  <c r="I256" i="7" s="1"/>
  <c r="G186" i="7"/>
  <c r="H186" i="7" s="1"/>
  <c r="G178" i="7"/>
  <c r="H178" i="7" s="1"/>
  <c r="G170" i="7"/>
  <c r="H170" i="7" s="1"/>
  <c r="G162" i="7"/>
  <c r="H162" i="7" s="1"/>
  <c r="G154" i="7"/>
  <c r="H154" i="7" s="1"/>
  <c r="G146" i="7"/>
  <c r="H146" i="7" s="1"/>
  <c r="G138" i="7"/>
  <c r="H138" i="7" s="1"/>
  <c r="G130" i="7"/>
  <c r="H130" i="7" s="1"/>
  <c r="G122" i="7"/>
  <c r="H122" i="7" s="1"/>
  <c r="G114" i="7"/>
  <c r="H114" i="7" s="1"/>
  <c r="G106" i="7"/>
  <c r="H106" i="7" s="1"/>
  <c r="G98" i="7"/>
  <c r="H98" i="7" s="1"/>
  <c r="G90" i="7"/>
  <c r="H90" i="7" s="1"/>
  <c r="G82" i="7"/>
  <c r="H82" i="7" s="1"/>
  <c r="G74" i="7"/>
  <c r="H74" i="7" s="1"/>
  <c r="G66" i="7"/>
  <c r="H66" i="7" s="1"/>
  <c r="G58" i="7"/>
  <c r="H58" i="7" s="1"/>
  <c r="G50" i="7"/>
  <c r="H50" i="7" s="1"/>
  <c r="G42" i="7"/>
  <c r="H42" i="7" s="1"/>
  <c r="G34" i="7"/>
  <c r="H34" i="7" s="1"/>
  <c r="G26" i="7"/>
  <c r="H26" i="7" s="1"/>
  <c r="G18" i="7"/>
  <c r="H18" i="7" s="1"/>
  <c r="G10" i="7"/>
  <c r="H10" i="7" s="1"/>
  <c r="G2" i="7"/>
  <c r="H2" i="7" s="1"/>
  <c r="G193" i="7"/>
  <c r="H193" i="7" s="1"/>
  <c r="I193" i="7" s="1"/>
  <c r="G201" i="7"/>
  <c r="H201" i="7" s="1"/>
  <c r="I201" i="7" s="1"/>
  <c r="G209" i="7"/>
  <c r="H209" i="7" s="1"/>
  <c r="I209" i="7" s="1"/>
  <c r="G217" i="7"/>
  <c r="H217" i="7" s="1"/>
  <c r="I217" i="7" s="1"/>
  <c r="G225" i="7"/>
  <c r="H225" i="7" s="1"/>
  <c r="I225" i="7" s="1"/>
  <c r="G227" i="7"/>
  <c r="H227" i="7" s="1"/>
  <c r="I227" i="7" s="1"/>
  <c r="G229" i="7"/>
  <c r="H229" i="7" s="1"/>
  <c r="I229" i="7" s="1"/>
  <c r="G231" i="7"/>
  <c r="H231" i="7" s="1"/>
  <c r="I231" i="7" s="1"/>
  <c r="G233" i="7"/>
  <c r="H233" i="7" s="1"/>
  <c r="I233" i="7" s="1"/>
  <c r="G235" i="7"/>
  <c r="H235" i="7" s="1"/>
  <c r="I235" i="7" s="1"/>
  <c r="G237" i="7"/>
  <c r="H237" i="7" s="1"/>
  <c r="I237" i="7" s="1"/>
  <c r="G239" i="7"/>
  <c r="H239" i="7" s="1"/>
  <c r="I239" i="7" s="1"/>
  <c r="G241" i="7"/>
  <c r="H241" i="7" s="1"/>
  <c r="I241" i="7" s="1"/>
  <c r="G243" i="7"/>
  <c r="H243" i="7" s="1"/>
  <c r="I243" i="7" s="1"/>
  <c r="G245" i="7"/>
  <c r="H245" i="7" s="1"/>
  <c r="I245" i="7" s="1"/>
  <c r="G247" i="7"/>
  <c r="H247" i="7" s="1"/>
  <c r="I247" i="7" s="1"/>
  <c r="G249" i="7"/>
  <c r="H249" i="7" s="1"/>
  <c r="I249" i="7" s="1"/>
  <c r="G251" i="7"/>
  <c r="H251" i="7" s="1"/>
  <c r="I251" i="7" s="1"/>
  <c r="G253" i="7"/>
  <c r="H253" i="7" s="1"/>
  <c r="I253" i="7" s="1"/>
  <c r="G4" i="3" l="1"/>
  <c r="C28" i="1"/>
  <c r="F3" i="4"/>
  <c r="C23" i="1"/>
  <c r="I189" i="7"/>
  <c r="I4" i="7"/>
  <c r="I191" i="7"/>
  <c r="J192" i="7" s="1"/>
  <c r="I190" i="7"/>
  <c r="I26" i="7"/>
  <c r="J242" i="7"/>
  <c r="J226" i="7"/>
  <c r="I75" i="7"/>
  <c r="I8" i="7"/>
  <c r="I52" i="7"/>
  <c r="I181" i="7"/>
  <c r="I43" i="7"/>
  <c r="I162" i="7"/>
  <c r="I124" i="7"/>
  <c r="I127" i="7"/>
  <c r="I185" i="7"/>
  <c r="J209" i="7"/>
  <c r="J238" i="7"/>
  <c r="I77" i="7"/>
  <c r="I87" i="7"/>
  <c r="I21" i="7"/>
  <c r="I161" i="7"/>
  <c r="J252" i="7"/>
  <c r="J236" i="7"/>
  <c r="J202" i="7"/>
  <c r="I50" i="7"/>
  <c r="I114" i="7"/>
  <c r="I178" i="7"/>
  <c r="I12" i="7"/>
  <c r="I76" i="7"/>
  <c r="I140" i="7"/>
  <c r="I27" i="7"/>
  <c r="I180" i="7"/>
  <c r="I143" i="7"/>
  <c r="I24" i="7"/>
  <c r="I33" i="7"/>
  <c r="I166" i="7"/>
  <c r="I101" i="7"/>
  <c r="I155" i="7"/>
  <c r="J217" i="7"/>
  <c r="I102" i="7"/>
  <c r="J256" i="7"/>
  <c r="I105" i="7"/>
  <c r="J193" i="7"/>
  <c r="I147" i="7"/>
  <c r="I62" i="7"/>
  <c r="J215" i="7"/>
  <c r="I167" i="7"/>
  <c r="I81" i="7"/>
  <c r="J219" i="7"/>
  <c r="J253" i="7"/>
  <c r="I123" i="7"/>
  <c r="I55" i="7"/>
  <c r="I154" i="7"/>
  <c r="J241" i="7"/>
  <c r="I97" i="7"/>
  <c r="I48" i="7"/>
  <c r="I137" i="7"/>
  <c r="J255" i="7"/>
  <c r="J240" i="7"/>
  <c r="J196" i="7"/>
  <c r="I144" i="7"/>
  <c r="I67" i="7"/>
  <c r="I121" i="7"/>
  <c r="I83" i="7"/>
  <c r="J201" i="7"/>
  <c r="J210" i="7"/>
  <c r="J221" i="7"/>
  <c r="I13" i="7"/>
  <c r="I117" i="7"/>
  <c r="I72" i="7"/>
  <c r="I93" i="7"/>
  <c r="J250" i="7"/>
  <c r="J234" i="7"/>
  <c r="J194" i="7"/>
  <c r="I58" i="7"/>
  <c r="I122" i="7"/>
  <c r="I186" i="7"/>
  <c r="I20" i="7"/>
  <c r="I84" i="7"/>
  <c r="I148" i="7"/>
  <c r="I45" i="7"/>
  <c r="I11" i="7"/>
  <c r="J206" i="7"/>
  <c r="I175" i="7"/>
  <c r="I47" i="7"/>
  <c r="I182" i="7"/>
  <c r="I119" i="7"/>
  <c r="I173" i="7"/>
  <c r="J203" i="7"/>
  <c r="I120" i="7"/>
  <c r="I179" i="7"/>
  <c r="I95" i="7"/>
  <c r="J197" i="7"/>
  <c r="I136" i="7"/>
  <c r="I51" i="7"/>
  <c r="J222" i="7"/>
  <c r="I157" i="7"/>
  <c r="I71" i="7"/>
  <c r="I37" i="7"/>
  <c r="J249" i="7"/>
  <c r="I142" i="7"/>
  <c r="I116" i="7"/>
  <c r="I183" i="7"/>
  <c r="I177" i="7"/>
  <c r="I17" i="7"/>
  <c r="J218" i="7"/>
  <c r="I60" i="7"/>
  <c r="I131" i="7"/>
  <c r="J224" i="7"/>
  <c r="J254" i="7"/>
  <c r="I106" i="7"/>
  <c r="I68" i="7"/>
  <c r="I165" i="7"/>
  <c r="I107" i="7"/>
  <c r="J208" i="7"/>
  <c r="J213" i="7"/>
  <c r="J248" i="7"/>
  <c r="J232" i="7"/>
  <c r="I41" i="7"/>
  <c r="I9" i="7"/>
  <c r="I70" i="7"/>
  <c r="I6" i="7"/>
  <c r="I39" i="7"/>
  <c r="I2" i="7"/>
  <c r="I22" i="7"/>
  <c r="I3" i="7"/>
  <c r="I46" i="7"/>
  <c r="I7" i="7"/>
  <c r="I14" i="7"/>
  <c r="I66" i="7"/>
  <c r="I130" i="7"/>
  <c r="J257" i="7"/>
  <c r="I28" i="7"/>
  <c r="I92" i="7"/>
  <c r="I156" i="7"/>
  <c r="I59" i="7"/>
  <c r="I64" i="7"/>
  <c r="J251" i="7"/>
  <c r="I65" i="7"/>
  <c r="I88" i="7"/>
  <c r="I134" i="7"/>
  <c r="J200" i="7"/>
  <c r="I188" i="7"/>
  <c r="I139" i="7"/>
  <c r="I169" i="7"/>
  <c r="I85" i="7"/>
  <c r="J211" i="7"/>
  <c r="I126" i="7"/>
  <c r="I40" i="7"/>
  <c r="J231" i="7"/>
  <c r="I145" i="7"/>
  <c r="I61" i="7"/>
  <c r="I25" i="7"/>
  <c r="J235" i="7"/>
  <c r="I160" i="7"/>
  <c r="I23" i="7"/>
  <c r="I90" i="7"/>
  <c r="J198" i="7"/>
  <c r="I118" i="7"/>
  <c r="I54" i="7"/>
  <c r="I53" i="7"/>
  <c r="I113" i="7"/>
  <c r="I56" i="7"/>
  <c r="I98" i="7"/>
  <c r="J227" i="7"/>
  <c r="I133" i="7"/>
  <c r="I69" i="7"/>
  <c r="I168" i="7"/>
  <c r="I103" i="7"/>
  <c r="I89" i="7"/>
  <c r="I42" i="7"/>
  <c r="I163" i="7"/>
  <c r="J229" i="7"/>
  <c r="I158" i="7"/>
  <c r="I109" i="7"/>
  <c r="J246" i="7"/>
  <c r="J230" i="7"/>
  <c r="I10" i="7"/>
  <c r="I74" i="7"/>
  <c r="I138" i="7"/>
  <c r="J220" i="7"/>
  <c r="I36" i="7"/>
  <c r="I100" i="7"/>
  <c r="I164" i="7"/>
  <c r="I78" i="7"/>
  <c r="I112" i="7"/>
  <c r="I32" i="7"/>
  <c r="J237" i="7"/>
  <c r="I80" i="7"/>
  <c r="I141" i="7"/>
  <c r="I152" i="7"/>
  <c r="I91" i="7"/>
  <c r="I16" i="7"/>
  <c r="I153" i="7"/>
  <c r="I159" i="7"/>
  <c r="I73" i="7"/>
  <c r="J225" i="7"/>
  <c r="I115" i="7"/>
  <c r="I30" i="7"/>
  <c r="J239" i="7"/>
  <c r="I135" i="7"/>
  <c r="I49" i="7"/>
  <c r="I15" i="7"/>
  <c r="J223" i="7"/>
  <c r="I174" i="7"/>
  <c r="I96" i="7"/>
  <c r="J204" i="7"/>
  <c r="I129" i="7"/>
  <c r="I184" i="7"/>
  <c r="I94" i="7"/>
  <c r="J195" i="7"/>
  <c r="I34" i="7"/>
  <c r="J207" i="7"/>
  <c r="J243" i="7"/>
  <c r="I31" i="7"/>
  <c r="I110" i="7"/>
  <c r="I170" i="7"/>
  <c r="I132" i="7"/>
  <c r="I151" i="7"/>
  <c r="I86" i="7"/>
  <c r="I57" i="7"/>
  <c r="I176" i="7"/>
  <c r="J205" i="7"/>
  <c r="J244" i="7"/>
  <c r="J228" i="7"/>
  <c r="I18" i="7"/>
  <c r="I82" i="7"/>
  <c r="I146" i="7"/>
  <c r="J212" i="7"/>
  <c r="I44" i="7"/>
  <c r="I108" i="7"/>
  <c r="J245" i="7"/>
  <c r="I111" i="7"/>
  <c r="I150" i="7"/>
  <c r="I79" i="7"/>
  <c r="J233" i="7"/>
  <c r="I99" i="7"/>
  <c r="I35" i="7"/>
  <c r="I171" i="7"/>
  <c r="I128" i="7"/>
  <c r="I38" i="7"/>
  <c r="I172" i="7"/>
  <c r="I149" i="7"/>
  <c r="I63" i="7"/>
  <c r="I187" i="7"/>
  <c r="I104" i="7"/>
  <c r="I19" i="7"/>
  <c r="J247" i="7"/>
  <c r="I125" i="7"/>
  <c r="I29" i="7"/>
  <c r="I5" i="7"/>
  <c r="J216" i="7"/>
  <c r="J214" i="7"/>
  <c r="J199" i="7"/>
  <c r="J191" i="7" l="1"/>
  <c r="J190" i="7"/>
  <c r="J189" i="7"/>
  <c r="J147" i="7"/>
  <c r="J5" i="7"/>
  <c r="J151" i="7"/>
  <c r="J185" i="7"/>
  <c r="J74" i="7"/>
  <c r="J99" i="7"/>
  <c r="J127" i="7"/>
  <c r="J89" i="7"/>
  <c r="J117" i="7"/>
  <c r="J183" i="7"/>
  <c r="J21" i="7"/>
  <c r="J150" i="7"/>
  <c r="J80" i="7"/>
  <c r="J160" i="7"/>
  <c r="J75" i="7"/>
  <c r="J161" i="7"/>
  <c r="J155" i="7"/>
  <c r="J162" i="7"/>
  <c r="J95" i="7"/>
  <c r="J61" i="7"/>
  <c r="J124" i="7"/>
  <c r="J34" i="7"/>
  <c r="J88" i="7"/>
  <c r="J154" i="7"/>
  <c r="J131" i="7"/>
  <c r="J112" i="7"/>
  <c r="J79" i="7"/>
  <c r="J26" i="7"/>
  <c r="J7" i="7"/>
  <c r="J180" i="7"/>
  <c r="J59" i="7"/>
  <c r="J129" i="7"/>
  <c r="J130" i="7"/>
  <c r="J92" i="7"/>
  <c r="J165" i="7"/>
  <c r="J55" i="7"/>
  <c r="J62" i="7"/>
  <c r="J140" i="7"/>
  <c r="J65" i="7"/>
  <c r="J15" i="7"/>
  <c r="J71" i="7"/>
  <c r="J166" i="7"/>
  <c r="J72" i="7"/>
  <c r="J121" i="7"/>
  <c r="J12" i="7"/>
  <c r="J106" i="7"/>
  <c r="J115" i="7"/>
  <c r="J113" i="7"/>
  <c r="J17" i="7"/>
  <c r="J54" i="7"/>
  <c r="J108" i="7"/>
  <c r="J172" i="7"/>
  <c r="J32" i="7"/>
  <c r="J153" i="7"/>
  <c r="J101" i="7"/>
  <c r="J119" i="7"/>
  <c r="J146" i="7"/>
  <c r="J8" i="7"/>
  <c r="J10" i="7"/>
  <c r="J18" i="7"/>
  <c r="J158" i="7"/>
  <c r="J46" i="7"/>
  <c r="J138" i="7"/>
  <c r="J144" i="7"/>
  <c r="J51" i="7"/>
  <c r="J44" i="7"/>
  <c r="J126" i="7"/>
  <c r="J171" i="7"/>
  <c r="J67" i="7"/>
  <c r="J20" i="7"/>
  <c r="J109" i="7"/>
  <c r="J36" i="7"/>
  <c r="J177" i="7"/>
  <c r="J97" i="7"/>
  <c r="J116" i="7"/>
  <c r="J142" i="7"/>
  <c r="J159" i="7"/>
  <c r="J134" i="7"/>
  <c r="J47" i="7"/>
  <c r="J42" i="7"/>
  <c r="J174" i="7"/>
  <c r="J149" i="7"/>
  <c r="J84" i="7"/>
  <c r="J49" i="7"/>
  <c r="J82" i="7"/>
  <c r="J181" i="7"/>
  <c r="J39" i="7"/>
  <c r="J136" i="7"/>
  <c r="J104" i="7"/>
  <c r="J175" i="7"/>
  <c r="J93" i="7"/>
  <c r="J4" i="7"/>
  <c r="J52" i="7"/>
  <c r="J122" i="7"/>
  <c r="J25" i="7"/>
  <c r="J78" i="7"/>
  <c r="J163" i="7"/>
  <c r="J125" i="7"/>
  <c r="J111" i="7"/>
  <c r="J178" i="7"/>
  <c r="J9" i="7"/>
  <c r="J188" i="7"/>
  <c r="J100" i="7"/>
  <c r="J58" i="7"/>
  <c r="J81" i="7"/>
  <c r="J91" i="7"/>
  <c r="J41" i="7"/>
  <c r="J135" i="7"/>
  <c r="J184" i="7"/>
  <c r="J120" i="7"/>
  <c r="J85" i="7"/>
  <c r="J94" i="7"/>
  <c r="J98" i="7"/>
  <c r="J168" i="7"/>
  <c r="J28" i="7"/>
  <c r="J182" i="7"/>
  <c r="J170" i="7"/>
  <c r="J169" i="7"/>
  <c r="J60" i="7"/>
  <c r="J69" i="7"/>
  <c r="J35" i="7"/>
  <c r="J164" i="7"/>
  <c r="J24" i="7"/>
  <c r="J29" i="7"/>
  <c r="J23" i="7"/>
  <c r="J137" i="7"/>
  <c r="J73" i="7"/>
  <c r="J68" i="7"/>
  <c r="J156" i="7"/>
  <c r="J141" i="7"/>
  <c r="J186" i="7"/>
  <c r="J53" i="7"/>
  <c r="J38" i="7"/>
  <c r="J179" i="7"/>
  <c r="J31" i="7"/>
  <c r="J110" i="7"/>
  <c r="J70" i="7"/>
  <c r="J105" i="7"/>
  <c r="J45" i="7"/>
  <c r="J103" i="7"/>
  <c r="J64" i="7"/>
  <c r="J139" i="7"/>
  <c r="J83" i="7"/>
  <c r="J152" i="7"/>
  <c r="J16" i="7"/>
  <c r="J33" i="7"/>
  <c r="J43" i="7"/>
  <c r="J57" i="7"/>
  <c r="J66" i="7"/>
  <c r="J2" i="7"/>
  <c r="J3" i="7"/>
  <c r="J143" i="7"/>
  <c r="J48" i="7"/>
  <c r="J187" i="7"/>
  <c r="J118" i="7"/>
  <c r="J145" i="7"/>
  <c r="J63" i="7"/>
  <c r="J102" i="7"/>
  <c r="J77" i="7"/>
  <c r="J128" i="7"/>
  <c r="J27" i="7"/>
  <c r="J37" i="7"/>
  <c r="J157" i="7"/>
  <c r="J107" i="7"/>
  <c r="J87" i="7"/>
  <c r="J6" i="7"/>
  <c r="J30" i="7"/>
  <c r="J173" i="7"/>
  <c r="J19" i="7"/>
  <c r="J133" i="7"/>
  <c r="J50" i="7"/>
  <c r="J11" i="7"/>
  <c r="J90" i="7"/>
  <c r="J114" i="7"/>
  <c r="J86" i="7"/>
  <c r="J40" i="7"/>
  <c r="J132" i="7"/>
  <c r="J96" i="7"/>
  <c r="J176" i="7"/>
  <c r="J123" i="7"/>
  <c r="J14" i="7"/>
  <c r="J56" i="7"/>
  <c r="J148" i="7"/>
  <c r="J167" i="7"/>
  <c r="J13" i="7"/>
  <c r="J22" i="7"/>
  <c r="J76" i="7"/>
</calcChain>
</file>

<file path=xl/sharedStrings.xml><?xml version="1.0" encoding="utf-8"?>
<sst xmlns="http://schemas.openxmlformats.org/spreadsheetml/2006/main" count="1145" uniqueCount="789">
  <si>
    <t>District, local charter or state charter school?:</t>
  </si>
  <si>
    <t>PED No.:</t>
  </si>
  <si>
    <t>Estimated Year Begin:</t>
  </si>
  <si>
    <t>Estimated Year End:</t>
  </si>
  <si>
    <t>Projected Year Begin:</t>
  </si>
  <si>
    <t>Projected Year End:</t>
  </si>
  <si>
    <t>Navigate to back to Cover Page by clicking the link</t>
  </si>
  <si>
    <t>County:</t>
  </si>
  <si>
    <t>PED 901B-10 Approval of Operating Budget</t>
  </si>
  <si>
    <t>Article 10A &amp; Article 8 Certification</t>
  </si>
  <si>
    <t>A simple majority of board members have to be present for the approval.</t>
  </si>
  <si>
    <t>through</t>
  </si>
  <si>
    <t>to the public on</t>
  </si>
  <si>
    <t>Public Education Department Use Only</t>
  </si>
  <si>
    <t>Comments</t>
  </si>
  <si>
    <t>Codicil(s) Attached</t>
  </si>
  <si>
    <t>Codicil(s) Removed:</t>
  </si>
  <si>
    <t>Date Codicil(s) Removed:</t>
  </si>
  <si>
    <t>STATE OF NEW MEXICO</t>
  </si>
  <si>
    <t>PUBLIC EDUCATION DEPARTMENT</t>
  </si>
  <si>
    <t>SANTA FE, NEW MEXICO 87501-2786</t>
  </si>
  <si>
    <t>Telephone (505) 827-5800</t>
  </si>
  <si>
    <t>www.ped.state.nm.us</t>
  </si>
  <si>
    <t>Level two teacher’s minimum salary -</t>
  </si>
  <si>
    <t xml:space="preserve">Level three teacher’s minimum salary - </t>
  </si>
  <si>
    <t>22-10A-20. Staffing patterns; class load; teaching load.</t>
  </si>
  <si>
    <t>Kindergarten Elementary – 20 students; where 15-20 students requires an Education Assistant</t>
  </si>
  <si>
    <t>Grades 1, 2 and 3 Elementary – average 22 students; where any teacher in grade 1 with greater than 21</t>
  </si>
  <si>
    <t>students requires an Educational Assistant</t>
  </si>
  <si>
    <t>Grades 4, 5 and 6 Elementary – average 24 students</t>
  </si>
  <si>
    <t>Grades 7 through 12 – 160 students; where English teachers in grades 7-8 is 135 with 27 students per class</t>
  </si>
  <si>
    <t>and English teachers in grades 9-12 is 150 with 30 students per class.</t>
  </si>
  <si>
    <t>Only classroom teachers charged with responsibility for the regular classroom instructional program shall be</t>
  </si>
  <si>
    <t>counted in determining average class loads. Students receiving special education services integrated into a</t>
  </si>
  <si>
    <t>regular classroom for any part of the into a regular classroom for any part of the day shall be counted in the</t>
  </si>
  <si>
    <t>calculation of class load averages.  Students receiving special education services not integrated into the regular</t>
  </si>
  <si>
    <t>classroom, band or music classes or athletic electives do not count for class load requirements.</t>
  </si>
  <si>
    <t>22-10A-20 (G) NMSA 1978 Waivers</t>
  </si>
  <si>
    <t>The state superintendent [secretary] may waive the individual school class load requirements, for no longer than</t>
  </si>
  <si>
    <t>two consecutive years, if: no portable classrooms are available; no other available sources of funding exist to</t>
  </si>
  <si>
    <t>meet its need for additional classrooms; the school district is planning alternatives to increase building capacity</t>
  </si>
  <si>
    <t>for implementation within one year; and the parents of all children affected by the waiver have been notified in</t>
  </si>
  <si>
    <t>writing: of the statutory class load requirements; that the school district has made a decision to deviate from</t>
  </si>
  <si>
    <t>these class load requirements; and of the school district plan to achieve compliance with the class load</t>
  </si>
  <si>
    <t>requirements.</t>
  </si>
  <si>
    <t>Do you meet the requirements of 22-10A-20 as of last years’ first and second reporting period?</t>
  </si>
  <si>
    <t>Yes</t>
  </si>
  <si>
    <t>No</t>
  </si>
  <si>
    <t>22-10A-20 (K) NMSA 1978 Waivers</t>
  </si>
  <si>
    <t>The department may waive the individual class load and teaching load requirements upon a demonstration of a</t>
  </si>
  <si>
    <t>viable alternative curricular plan and a finding that the plan is in the best interest of the school district and that,</t>
  </si>
  <si>
    <t xml:space="preserve">on an annual basis, the plan has been presented to and is supported by the affected teaching staff. </t>
  </si>
  <si>
    <t>Are you operating under a waiver pursuant to 22-10A-20 (K) NMSA 1978?</t>
  </si>
  <si>
    <t>ARTICLE 8 CERTIFICATION</t>
  </si>
  <si>
    <t>Superintendent/Charter School Administrator Signature</t>
  </si>
  <si>
    <t>Date</t>
  </si>
  <si>
    <t>Approval of the School District Operating Budget</t>
  </si>
  <si>
    <t>Approval of the Charter School Operating Budget</t>
  </si>
  <si>
    <t>In Accordance with Sections 22-8-10, 22-8-11, and 22-8-41 NMSA 1978 Compilation</t>
  </si>
  <si>
    <t>In Accordance with Sections 22-8-6.1, 22-8-10, 22-8-11, and 22-8-41 NMSA 1978 Compilation</t>
  </si>
  <si>
    <t>District Name:</t>
  </si>
  <si>
    <t>Charter Name:</t>
  </si>
  <si>
    <t xml:space="preserve">All school districts are required to comply with the Attorney Generals Open Meetings Act (OMA). </t>
  </si>
  <si>
    <t>All charter schools are required to comply with the Attorney Generals Open Meetings Act (OMA).</t>
  </si>
  <si>
    <t>The approval of the budget is contingent on the school district having a quorum of board members.</t>
  </si>
  <si>
    <t>The approval of the budget is contingent on the charter school having a quorum of board members.</t>
  </si>
  <si>
    <t>This charter school's operating budget was approved at a scheduled local Council of Education meeting open</t>
  </si>
  <si>
    <t xml:space="preserve"> School District Local Board President Signature</t>
  </si>
  <si>
    <t>District</t>
  </si>
  <si>
    <t>This school district’s operating budget was approved at a scheduled local Board of Education meeting open</t>
  </si>
  <si>
    <t>This charter school's operating budget was approved at a scheduled Governance Council meeting open</t>
  </si>
  <si>
    <t>Board President Signature</t>
  </si>
  <si>
    <t>Board Vice-President Signature</t>
  </si>
  <si>
    <t>Board Secretary Signature</t>
  </si>
  <si>
    <t>Council President Signature</t>
  </si>
  <si>
    <t>Council Vice-President Signature</t>
  </si>
  <si>
    <t>Council Secretary Signature</t>
  </si>
  <si>
    <t>Board Member Signature</t>
  </si>
  <si>
    <t>Superintendent Signature</t>
  </si>
  <si>
    <t>District Business Official Signature</t>
  </si>
  <si>
    <t>Council Member Signature</t>
  </si>
  <si>
    <t>Chief Administrator Signature</t>
  </si>
  <si>
    <t>Charter Business Official Signature</t>
  </si>
  <si>
    <t>SELECT DISTRICT, LOCAL CHARTER, OR STATE CHARTER ON COVER PAGE</t>
  </si>
  <si>
    <t>District/ Charter Name:</t>
  </si>
  <si>
    <t>PED No.</t>
  </si>
  <si>
    <t>The operating budget for the charter school named above is approved from</t>
  </si>
  <si>
    <t>The operating budget for the school district named above is approved from</t>
  </si>
  <si>
    <t>County/ Counties:</t>
  </si>
  <si>
    <t>District / Charter Name:</t>
  </si>
  <si>
    <t>County / Counties:</t>
  </si>
  <si>
    <t>Program Staff Signature</t>
  </si>
  <si>
    <t>Executive Budget Analyst Signature</t>
  </si>
  <si>
    <t>School Budget Director Signature</t>
  </si>
  <si>
    <t>COVER</t>
  </si>
  <si>
    <t>and upload a copy of this signed form to the file transfer site for final approval of the charter school’s budget.</t>
  </si>
  <si>
    <t>and upload a copy of this signed form to the file transfer site for final approval of the school district’s budget.</t>
  </si>
  <si>
    <t>Search</t>
  </si>
  <si>
    <t>Frequency</t>
  </si>
  <si>
    <t>Final List</t>
  </si>
  <si>
    <t>District/Charter</t>
  </si>
  <si>
    <t>ENTITY STARS CODE</t>
  </si>
  <si>
    <t>D/LC/SC
(District,
Local Charter,
State Charter)</t>
  </si>
  <si>
    <t>County / Counties</t>
  </si>
  <si>
    <t>ACADEMY FOR TECH &amp; CLASSICS</t>
  </si>
  <si>
    <t>SANTA FE</t>
  </si>
  <si>
    <t>071-024</t>
  </si>
  <si>
    <t>LC</t>
  </si>
  <si>
    <t>Santa Fe</t>
  </si>
  <si>
    <t>ACE LEADERSHIP</t>
  </si>
  <si>
    <t>001-749</t>
  </si>
  <si>
    <t>Bernalillo/Sandoval</t>
  </si>
  <si>
    <t>ACES TECHNICAL CHARTER SCHOOL</t>
  </si>
  <si>
    <t>579-001</t>
  </si>
  <si>
    <t>SC</t>
  </si>
  <si>
    <t>Bernalillo</t>
  </si>
  <si>
    <t>AIMS @ UNM</t>
  </si>
  <si>
    <t>524-001</t>
  </si>
  <si>
    <t>ALAMOGORDO</t>
  </si>
  <si>
    <t>046-000</t>
  </si>
  <si>
    <t>D</t>
  </si>
  <si>
    <t>Otero</t>
  </si>
  <si>
    <t>ALBUQUERQUE</t>
  </si>
  <si>
    <t>001-000</t>
  </si>
  <si>
    <t>ALBUQUERQUE BILINGUAL ACADEMY</t>
  </si>
  <si>
    <t>528-001</t>
  </si>
  <si>
    <t>ALBUQUERQUE CHARTER ACADEMY</t>
  </si>
  <si>
    <t>001-090</t>
  </si>
  <si>
    <t>ALBUQUERQUE COLLEGIATE</t>
  </si>
  <si>
    <t>574-001</t>
  </si>
  <si>
    <t>ALBUQUERQUE SCHOOL OF EXCELLENCE</t>
  </si>
  <si>
    <t>516-001</t>
  </si>
  <si>
    <t>ALBUQUERQUE SIGN LANGUAGE</t>
  </si>
  <si>
    <t>517-001</t>
  </si>
  <si>
    <t>ALDO LEOPOLD ST. CHARTER</t>
  </si>
  <si>
    <t>SILVER CITY CONS.</t>
  </si>
  <si>
    <t>532-001</t>
  </si>
  <si>
    <t>Grant</t>
  </si>
  <si>
    <t>ALICE KING COMMUNITY SCHOOL</t>
  </si>
  <si>
    <t>001-116</t>
  </si>
  <si>
    <t>ALMA D' ARTE STATE CHARTER</t>
  </si>
  <si>
    <t>LAS CRUCES</t>
  </si>
  <si>
    <t>511-001</t>
  </si>
  <si>
    <t>Dona Ana</t>
  </si>
  <si>
    <t>ALTURA PREPARATORY SCHOOL</t>
  </si>
  <si>
    <t>575-001</t>
  </si>
  <si>
    <t>AMY BIEHL ST. CHARTER</t>
  </si>
  <si>
    <t>525-001</t>
  </si>
  <si>
    <t>ANANSI CHARTER</t>
  </si>
  <si>
    <t>TAOS</t>
  </si>
  <si>
    <t>076-006</t>
  </si>
  <si>
    <t>Taos</t>
  </si>
  <si>
    <t>ANIMAS</t>
  </si>
  <si>
    <t>030-000</t>
  </si>
  <si>
    <t>Hidalgo</t>
  </si>
  <si>
    <t>ARTESIA</t>
  </si>
  <si>
    <t>022-000</t>
  </si>
  <si>
    <t>Eddy/Chaves</t>
  </si>
  <si>
    <t>ASK ACADEMY ST. CHARTER</t>
  </si>
  <si>
    <t>RIO RANCHO</t>
  </si>
  <si>
    <t>520-001</t>
  </si>
  <si>
    <t>Sandoval</t>
  </si>
  <si>
    <t>AZTEC</t>
  </si>
  <si>
    <t>064-000</t>
  </si>
  <si>
    <t>San Juan</t>
  </si>
  <si>
    <t>BELEN</t>
  </si>
  <si>
    <t>087-000</t>
  </si>
  <si>
    <t>Valencia/Socorro</t>
  </si>
  <si>
    <t>BERNALILLO</t>
  </si>
  <si>
    <t>061-000</t>
  </si>
  <si>
    <t>BLOOMFIELD</t>
  </si>
  <si>
    <t>066-000</t>
  </si>
  <si>
    <t>CAPITAN</t>
  </si>
  <si>
    <t>040-000</t>
  </si>
  <si>
    <t>Lincoln</t>
  </si>
  <si>
    <t>CARLSBAD</t>
  </si>
  <si>
    <t>020-000</t>
  </si>
  <si>
    <t>Eddy</t>
  </si>
  <si>
    <t>CARRIZOZO</t>
  </si>
  <si>
    <t>037-000</t>
  </si>
  <si>
    <t>Lincoln/Socorro</t>
  </si>
  <si>
    <t>CENTRAL CONS.</t>
  </si>
  <si>
    <t>067-000</t>
  </si>
  <si>
    <t>CESAR CHAVEZ COMM. ST. CHARTER</t>
  </si>
  <si>
    <t>512-001</t>
  </si>
  <si>
    <t>CHAMA VALLEY</t>
  </si>
  <si>
    <t>053-000</t>
  </si>
  <si>
    <t>Rio Arriba</t>
  </si>
  <si>
    <t>CHRISTINE DUNCAN COMMUNITY</t>
  </si>
  <si>
    <t>001-118</t>
  </si>
  <si>
    <t>CIEN AGUAS INTERNATIONAL</t>
  </si>
  <si>
    <t>001-780</t>
  </si>
  <si>
    <t>CIMARRON</t>
  </si>
  <si>
    <t>008-000</t>
  </si>
  <si>
    <t>Colfax</t>
  </si>
  <si>
    <t>CLAYTON</t>
  </si>
  <si>
    <t>084-000</t>
  </si>
  <si>
    <t>Union</t>
  </si>
  <si>
    <t>CLOUDCROFT</t>
  </si>
  <si>
    <t>048-000</t>
  </si>
  <si>
    <t>CLOVIS</t>
  </si>
  <si>
    <t>012-000</t>
  </si>
  <si>
    <t>Curry</t>
  </si>
  <si>
    <t>COBRE CONS.</t>
  </si>
  <si>
    <t>024-000</t>
  </si>
  <si>
    <t>CORAL COMMUNITY</t>
  </si>
  <si>
    <t>001-706</t>
  </si>
  <si>
    <t>CORONA</t>
  </si>
  <si>
    <t>038-000</t>
  </si>
  <si>
    <t>Lincoln/Socorro/Torrance</t>
  </si>
  <si>
    <t>CORRALES INTERNATIONAL</t>
  </si>
  <si>
    <t>001-028</t>
  </si>
  <si>
    <t>COTTONWOOD CLASSICAL ST. CHARTER</t>
  </si>
  <si>
    <t>001-769</t>
  </si>
  <si>
    <t>COTTONWOOD VALLEY CHARTER</t>
  </si>
  <si>
    <t>SOCORRO</t>
  </si>
  <si>
    <t>074-003</t>
  </si>
  <si>
    <t>Socorro</t>
  </si>
  <si>
    <t>CUBA</t>
  </si>
  <si>
    <t>062-000</t>
  </si>
  <si>
    <t>DEAP</t>
  </si>
  <si>
    <t>GALLUP</t>
  </si>
  <si>
    <t>562-001</t>
  </si>
  <si>
    <t>Mckinley</t>
  </si>
  <si>
    <t>DEMING</t>
  </si>
  <si>
    <t>042-000</t>
  </si>
  <si>
    <t>Luna</t>
  </si>
  <si>
    <t>DEMING CESAR CHAVEZ</t>
  </si>
  <si>
    <t>042-006</t>
  </si>
  <si>
    <t>DES MOINES</t>
  </si>
  <si>
    <t>085-000</t>
  </si>
  <si>
    <t>Union/Colfax</t>
  </si>
  <si>
    <t>DEXTER</t>
  </si>
  <si>
    <t>006-000</t>
  </si>
  <si>
    <t>Chaves</t>
  </si>
  <si>
    <t>DIGITAL ARTS &amp; TECH ACADEMY</t>
  </si>
  <si>
    <t>001-063</t>
  </si>
  <si>
    <t>DORA</t>
  </si>
  <si>
    <t>060-000</t>
  </si>
  <si>
    <t>Roosevelt</t>
  </si>
  <si>
    <t>DREAM DINE'</t>
  </si>
  <si>
    <t>067-109</t>
  </si>
  <si>
    <t>DULCE</t>
  </si>
  <si>
    <t>054-000</t>
  </si>
  <si>
    <t>EAST MOUNTAIN</t>
  </si>
  <si>
    <t>001-024</t>
  </si>
  <si>
    <t>EL CAMINO REAL</t>
  </si>
  <si>
    <t>001-069</t>
  </si>
  <si>
    <t>ELIDA</t>
  </si>
  <si>
    <t>058-000</t>
  </si>
  <si>
    <t>Roosevelt/Chaves</t>
  </si>
  <si>
    <t>ESPAÑOLA</t>
  </si>
  <si>
    <t>055-000</t>
  </si>
  <si>
    <t>Rio Arriba/Santa Fe</t>
  </si>
  <si>
    <t>ESTANCIA</t>
  </si>
  <si>
    <t>080-000</t>
  </si>
  <si>
    <t>Torrance</t>
  </si>
  <si>
    <t>MORIARTY</t>
  </si>
  <si>
    <t>550-001</t>
  </si>
  <si>
    <t>EUNICE</t>
  </si>
  <si>
    <t>032-000</t>
  </si>
  <si>
    <t>Lea</t>
  </si>
  <si>
    <t>557-001</t>
  </si>
  <si>
    <t>FARMINGTON</t>
  </si>
  <si>
    <t>065-000</t>
  </si>
  <si>
    <t>FLOYD</t>
  </si>
  <si>
    <t>059-000</t>
  </si>
  <si>
    <t>FT. SUMNER</t>
  </si>
  <si>
    <t>016-000</t>
  </si>
  <si>
    <t>De Baca</t>
  </si>
  <si>
    <t>GADSDEN</t>
  </si>
  <si>
    <t>019-000</t>
  </si>
  <si>
    <t>Dona Ana/Otero/Anthony</t>
  </si>
  <si>
    <t>043-000</t>
  </si>
  <si>
    <t>McKinley</t>
  </si>
  <si>
    <t>GILBERT L. SENA CHARTER</t>
  </si>
  <si>
    <t>001-707</t>
  </si>
  <si>
    <t>GORDON BERNELL</t>
  </si>
  <si>
    <t>001-030</t>
  </si>
  <si>
    <t>GRADY</t>
  </si>
  <si>
    <t>015-000</t>
  </si>
  <si>
    <t>Curry/Quay</t>
  </si>
  <si>
    <t>GRANTS</t>
  </si>
  <si>
    <t>088-000</t>
  </si>
  <si>
    <t>Cibola</t>
  </si>
  <si>
    <t>HAGERMAN</t>
  </si>
  <si>
    <t>005-000</t>
  </si>
  <si>
    <t>HATCH</t>
  </si>
  <si>
    <t>018-000</t>
  </si>
  <si>
    <t>HEALTH LEADERSHIP CHARTER</t>
  </si>
  <si>
    <t>001-752</t>
  </si>
  <si>
    <t>HOBBS</t>
  </si>
  <si>
    <t>033-000</t>
  </si>
  <si>
    <t>HONDO</t>
  </si>
  <si>
    <t>039-000</t>
  </si>
  <si>
    <t>503-001</t>
  </si>
  <si>
    <t>HOUSE</t>
  </si>
  <si>
    <t>050-000</t>
  </si>
  <si>
    <t>Quay/Roosevelt</t>
  </si>
  <si>
    <t>573-001</t>
  </si>
  <si>
    <t>INT'L SCHOOL MESA DEL SOL ST. CHARTER</t>
  </si>
  <si>
    <t>001-781</t>
  </si>
  <si>
    <t>535-001</t>
  </si>
  <si>
    <t>JAL</t>
  </si>
  <si>
    <t>034-000</t>
  </si>
  <si>
    <t>JEFFERSON MONT. ACAD.</t>
  </si>
  <si>
    <t>020-001</t>
  </si>
  <si>
    <t>JEMEZ MOUNTAIN</t>
  </si>
  <si>
    <t>056-000</t>
  </si>
  <si>
    <t>JEMEZ VALLEY</t>
  </si>
  <si>
    <t>063-000</t>
  </si>
  <si>
    <t>LA ACADEMIA DE ESPERANZA</t>
  </si>
  <si>
    <t>001-061</t>
  </si>
  <si>
    <t>560-001</t>
  </si>
  <si>
    <t>546-001</t>
  </si>
  <si>
    <t>LAKE ARTHUR</t>
  </si>
  <si>
    <t>007-000</t>
  </si>
  <si>
    <t>017-000</t>
  </si>
  <si>
    <t>Don Ana</t>
  </si>
  <si>
    <t>567-001</t>
  </si>
  <si>
    <t>LAS VEGAS CITY</t>
  </si>
  <si>
    <t>069-000</t>
  </si>
  <si>
    <t>San Miguel/Mora</t>
  </si>
  <si>
    <t>LOGAN</t>
  </si>
  <si>
    <t>051-000</t>
  </si>
  <si>
    <t>Quay/Harding</t>
  </si>
  <si>
    <t>LORDSBURG</t>
  </si>
  <si>
    <t>029-000</t>
  </si>
  <si>
    <t>LOS ALAMOS</t>
  </si>
  <si>
    <t>041-000</t>
  </si>
  <si>
    <t>Los Alamos</t>
  </si>
  <si>
    <t>LOS LUNAS</t>
  </si>
  <si>
    <t>086-000</t>
  </si>
  <si>
    <t>Valencia</t>
  </si>
  <si>
    <t>LOS PUENTES</t>
  </si>
  <si>
    <t>001-017</t>
  </si>
  <si>
    <t>LOVING</t>
  </si>
  <si>
    <t>021-000</t>
  </si>
  <si>
    <t>LOVINGTON</t>
  </si>
  <si>
    <t>031-000</t>
  </si>
  <si>
    <t>MAGDALENA</t>
  </si>
  <si>
    <t>075-000</t>
  </si>
  <si>
    <t>MARK ARMIJO (NUESTROS VALORES)</t>
  </si>
  <si>
    <t>001-039</t>
  </si>
  <si>
    <t>519-001</t>
  </si>
  <si>
    <t>MAXWELL</t>
  </si>
  <si>
    <t>011-000</t>
  </si>
  <si>
    <t>547-001</t>
  </si>
  <si>
    <t>501-001</t>
  </si>
  <si>
    <t>MELROSE</t>
  </si>
  <si>
    <t>014-000</t>
  </si>
  <si>
    <t>Curry/Roosevelt/Quay</t>
  </si>
  <si>
    <t>MESA VISTA</t>
  </si>
  <si>
    <t>078-000</t>
  </si>
  <si>
    <t>Taos/Rio Arriba</t>
  </si>
  <si>
    <t>578-001</t>
  </si>
  <si>
    <t>542-001</t>
  </si>
  <si>
    <t>564-001</t>
  </si>
  <si>
    <t>529-001</t>
  </si>
  <si>
    <t>MONTESSORI OF THE RIO GRANDE</t>
  </si>
  <si>
    <t>001-095</t>
  </si>
  <si>
    <t>MORA</t>
  </si>
  <si>
    <t>044-000</t>
  </si>
  <si>
    <t>Mora</t>
  </si>
  <si>
    <t>MORENO VALLEY HIGH</t>
  </si>
  <si>
    <t>008-003</t>
  </si>
  <si>
    <t>081-000</t>
  </si>
  <si>
    <t>Torrance/Bernalillo/Santa Fe</t>
  </si>
  <si>
    <t>MOSAIC ACADEMY CHARTER</t>
  </si>
  <si>
    <t>064-001</t>
  </si>
  <si>
    <t>MOSQUERO</t>
  </si>
  <si>
    <t>028-000</t>
  </si>
  <si>
    <t>Harding</t>
  </si>
  <si>
    <t>MOUNTAIN MAHOGANY</t>
  </si>
  <si>
    <t>001-098</t>
  </si>
  <si>
    <t>MOUNTAINAIR</t>
  </si>
  <si>
    <t>082-000</t>
  </si>
  <si>
    <t>Torrance/Socorro</t>
  </si>
  <si>
    <t>NATIVE AMERICAN COMM ACAD.</t>
  </si>
  <si>
    <t>001-006</t>
  </si>
  <si>
    <t>NEW AMERICA CHARTER SCHOOL</t>
  </si>
  <si>
    <t>001-708</t>
  </si>
  <si>
    <t>NEW AMERICA SCHOOL - LAS CRUCES</t>
  </si>
  <si>
    <t>549-001</t>
  </si>
  <si>
    <t>NEW MEXICO CONNECTIONS ACADEMY</t>
  </si>
  <si>
    <t>554-001</t>
  </si>
  <si>
    <t>NEW MEXICO INTERNATIONAL</t>
  </si>
  <si>
    <t>001-768</t>
  </si>
  <si>
    <t>509-001</t>
  </si>
  <si>
    <t>504-001</t>
  </si>
  <si>
    <t>PAPA</t>
  </si>
  <si>
    <t>001-047</t>
  </si>
  <si>
    <t>PECOS</t>
  </si>
  <si>
    <t>070-000</t>
  </si>
  <si>
    <t>San Miguel</t>
  </si>
  <si>
    <t>PECOS CONNECTIONS</t>
  </si>
  <si>
    <t>PEÑASCO</t>
  </si>
  <si>
    <t>077-000</t>
  </si>
  <si>
    <t>POJOAQUE</t>
  </si>
  <si>
    <t>072-000</t>
  </si>
  <si>
    <t>PORTALES</t>
  </si>
  <si>
    <t>057-000</t>
  </si>
  <si>
    <t>QUEMADO</t>
  </si>
  <si>
    <t>003-000</t>
  </si>
  <si>
    <t>Catron/Cibola</t>
  </si>
  <si>
    <t>QUESTA</t>
  </si>
  <si>
    <t>079-000</t>
  </si>
  <si>
    <t>577-001</t>
  </si>
  <si>
    <t>RATON</t>
  </si>
  <si>
    <t>009-000</t>
  </si>
  <si>
    <t>539-001</t>
  </si>
  <si>
    <t>RESERVE</t>
  </si>
  <si>
    <t>002-000</t>
  </si>
  <si>
    <t>Catron</t>
  </si>
  <si>
    <t>RIO GALLINAS CHARTER SCHOOL</t>
  </si>
  <si>
    <t>WEST LAS VEGAS</t>
  </si>
  <si>
    <t>068-004</t>
  </si>
  <si>
    <t>083-000</t>
  </si>
  <si>
    <t>ROBERT F. KENNEDY</t>
  </si>
  <si>
    <t>001-051</t>
  </si>
  <si>
    <t>570-001</t>
  </si>
  <si>
    <t>ROSWELL</t>
  </si>
  <si>
    <t>004-000</t>
  </si>
  <si>
    <t>ROY</t>
  </si>
  <si>
    <t>027-000</t>
  </si>
  <si>
    <t>RUIDOSO</t>
  </si>
  <si>
    <t>036-000</t>
  </si>
  <si>
    <t>SAN DIEGO RIVERSIDE CHARTER</t>
  </si>
  <si>
    <t>063-004</t>
  </si>
  <si>
    <t>SAN JON</t>
  </si>
  <si>
    <t>052-000</t>
  </si>
  <si>
    <t>Quay</t>
  </si>
  <si>
    <t>563-001</t>
  </si>
  <si>
    <t>071-000</t>
  </si>
  <si>
    <t>SANTA ROSA</t>
  </si>
  <si>
    <t>025-000</t>
  </si>
  <si>
    <t>Guadalupe/San Miguel</t>
  </si>
  <si>
    <t>505-001</t>
  </si>
  <si>
    <t>SIDNEY GUTIERREZ</t>
  </si>
  <si>
    <t>004-009</t>
  </si>
  <si>
    <t>SIEMBRA LEADERSHIP HIGH SCHOOL</t>
  </si>
  <si>
    <t>001-750</t>
  </si>
  <si>
    <t>023-000</t>
  </si>
  <si>
    <t>568-001</t>
  </si>
  <si>
    <t>074-000</t>
  </si>
  <si>
    <t>576-001</t>
  </si>
  <si>
    <t>SOUTH VALLEY</t>
  </si>
  <si>
    <t>001-025</t>
  </si>
  <si>
    <t>515-001</t>
  </si>
  <si>
    <t>530-001</t>
  </si>
  <si>
    <t>531-001</t>
  </si>
  <si>
    <t>SPRINGER</t>
  </si>
  <si>
    <t>010-000</t>
  </si>
  <si>
    <t>Colfax/Union</t>
  </si>
  <si>
    <t>SW AERONAUTICS, MATHEMATICS AND SCIENCE ACADEMY</t>
  </si>
  <si>
    <t>544-001</t>
  </si>
  <si>
    <t>076-000</t>
  </si>
  <si>
    <t>TAOS ACADEMY</t>
  </si>
  <si>
    <t>510-001</t>
  </si>
  <si>
    <t>521-001</t>
  </si>
  <si>
    <t>555-001</t>
  </si>
  <si>
    <t>TAOS MUNICIPAL CHARTER</t>
  </si>
  <si>
    <t>076-005</t>
  </si>
  <si>
    <t>TATUM</t>
  </si>
  <si>
    <t>035-000</t>
  </si>
  <si>
    <t>Lea/Chaves</t>
  </si>
  <si>
    <t>TECHNOLOGY LEADERSHIP</t>
  </si>
  <si>
    <t>001-753</t>
  </si>
  <si>
    <t>TEXICO</t>
  </si>
  <si>
    <t>013-000</t>
  </si>
  <si>
    <t>Curry/Roosevelt</t>
  </si>
  <si>
    <t>THE ALBUQUERQUE TALENT AND DEVELOPMENT ACAD</t>
  </si>
  <si>
    <t>001-016</t>
  </si>
  <si>
    <t>536-001</t>
  </si>
  <si>
    <t>518-001</t>
  </si>
  <si>
    <t>565-001</t>
  </si>
  <si>
    <t>TRUTH OR CONSEQ.</t>
  </si>
  <si>
    <t>073-000</t>
  </si>
  <si>
    <t>Sierra</t>
  </si>
  <si>
    <t>TUCUMCARI</t>
  </si>
  <si>
    <t>049-000</t>
  </si>
  <si>
    <t>TULAROSA</t>
  </si>
  <si>
    <t>047-000</t>
  </si>
  <si>
    <t>TURQUOISE TRAIL ELEMENTARY</t>
  </si>
  <si>
    <t>566-001</t>
  </si>
  <si>
    <t>Twenty First Century (21st CENTURY PUBLIC ACADEMY)</t>
  </si>
  <si>
    <t>580-001</t>
  </si>
  <si>
    <t>VAUGHN</t>
  </si>
  <si>
    <t>026-000</t>
  </si>
  <si>
    <t>Guadalupe/Torrance</t>
  </si>
  <si>
    <t>VISTA GRANDE</t>
  </si>
  <si>
    <t>WAGON MOUND</t>
  </si>
  <si>
    <t>045-000</t>
  </si>
  <si>
    <t>WALATOWA CHARTER HIGH SCHOOL</t>
  </si>
  <si>
    <t>552-001</t>
  </si>
  <si>
    <t>068-000</t>
  </si>
  <si>
    <t>WILLIAM W &amp; JOSEPHINE DORN CHARTER</t>
  </si>
  <si>
    <t>001-782</t>
  </si>
  <si>
    <t>ZUNI</t>
  </si>
  <si>
    <t>089-000</t>
  </si>
  <si>
    <t>Select…</t>
  </si>
  <si>
    <t>Sort_Number</t>
  </si>
  <si>
    <t>Sort_Alpha</t>
  </si>
  <si>
    <t>VOZ COLLEGIATE PREPARATORY CHARTER SCHOOL</t>
  </si>
  <si>
    <t>001-709</t>
  </si>
  <si>
    <t>ESTANCIA VALLEY</t>
  </si>
  <si>
    <t>EXPLORE ACADEMY</t>
  </si>
  <si>
    <t>EXPLORE ACADEMY - LAS CRUCES</t>
  </si>
  <si>
    <t>581-001</t>
  </si>
  <si>
    <t>HORIZON ACADEMY WEST ST. CHARTER</t>
  </si>
  <si>
    <t>HOZHO ACADEMY</t>
  </si>
  <si>
    <t>J. PAUL TAYLOR ACADEMY</t>
  </si>
  <si>
    <t>LA ACADEMIA DOLORES HUERTA</t>
  </si>
  <si>
    <t>LA TIERRA MONTESSORI</t>
  </si>
  <si>
    <t>LAS MONTANAS</t>
  </si>
  <si>
    <t>MASTERS PROGRAM ST. CHARTER</t>
  </si>
  <si>
    <t>MCCURDY CHARTER SCHOOL</t>
  </si>
  <si>
    <t>MEDIA ARTS COLLAB. ST. CHARTER</t>
  </si>
  <si>
    <t>MIDDLE COLLEGE HIGH</t>
  </si>
  <si>
    <t>MISSION ACHIEVEMENT &amp; SUCCESS-MAS</t>
  </si>
  <si>
    <t>MONTE DEL SOL</t>
  </si>
  <si>
    <t>MONTESSORI ELEMEMTARY ST. CHARTER</t>
  </si>
  <si>
    <t>NEW MEXICO SCHOOL FOR THE ARTS ST. CH</t>
  </si>
  <si>
    <t>NORTH VALLEY ACADEMY ST. CHARTER</t>
  </si>
  <si>
    <t>RAICES DEL SABER XINACHTLI</t>
  </si>
  <si>
    <t>RED RIVER VALLEY</t>
  </si>
  <si>
    <t>ROOTS &amp; WINGS</t>
  </si>
  <si>
    <t>SANDOVAL ACADEMY OF BIL ED SABE</t>
  </si>
  <si>
    <t>SCHOOL OF DREAMS ST. CHARTER</t>
  </si>
  <si>
    <t>SIX DIRECTIONS</t>
  </si>
  <si>
    <t>SOLARE COLLEGIATE</t>
  </si>
  <si>
    <t>SOUTH VALLEY PREP ST. CHARTER</t>
  </si>
  <si>
    <t>SOUTHWEST PREPATORY LEARNING CENTER</t>
  </si>
  <si>
    <t>SOUTHWEST SECONDARY LEARNING CENTER</t>
  </si>
  <si>
    <t>TAOS INTEGRATED SCHOOL OF ARTS ST.</t>
  </si>
  <si>
    <t>TAOS INTERNATIONAL</t>
  </si>
  <si>
    <t>THE GREAT ACADEMY</t>
  </si>
  <si>
    <t>TIERRA ADENTRO ST. CHARTER</t>
  </si>
  <si>
    <t>TIERRA ENCANTADA CHARTER</t>
  </si>
  <si>
    <t>Type_Helper</t>
  </si>
  <si>
    <t>Are you operating under a waiver pursuant to 22-10A-20 (G) NMSA 1978?</t>
  </si>
  <si>
    <t>Responsibility Factor</t>
  </si>
  <si>
    <t>Minimum Salary</t>
  </si>
  <si>
    <t>Principal Type</t>
  </si>
  <si>
    <t>Elementary school principal</t>
  </si>
  <si>
    <t>Middle school principal</t>
  </si>
  <si>
    <t>High school principal</t>
  </si>
  <si>
    <t>Elementary school assist. principal</t>
  </si>
  <si>
    <t>Middle school assist. principal</t>
  </si>
  <si>
    <t>High school assist. principal</t>
  </si>
  <si>
    <t xml:space="preserve">determine the following salary minimums for school principals and assistant principals, based upon the minimum salary </t>
  </si>
  <si>
    <t>Level one teacher’s minimum salary -</t>
  </si>
  <si>
    <t>Deputy Cabinet Secretary Signature</t>
  </si>
  <si>
    <t>KURT STEINHAUS, ED.D.</t>
  </si>
  <si>
    <t>SECRETARY OF EDUCATION</t>
  </si>
  <si>
    <t>MICHELLE LUJAN GRISHAM</t>
  </si>
  <si>
    <t xml:space="preserve">GOVERNOR </t>
  </si>
  <si>
    <t>300 DON GASPAR AVE.</t>
  </si>
  <si>
    <t>Level one ELTP teacher’s minimum salary -</t>
  </si>
  <si>
    <t>Level one K-5+ teacher’s minimum salary -</t>
  </si>
  <si>
    <t>Level two ELTP teacher’s minimum salary -</t>
  </si>
  <si>
    <t>Level two K-5+ teacher’s minimum salary -</t>
  </si>
  <si>
    <t>Level three ELTP teacher’s minimum salary -</t>
  </si>
  <si>
    <t>Level three K-5+ teacher’s minimum salary -</t>
  </si>
  <si>
    <t>RIO GRANDE ACADEMY OF FINE ARTS</t>
  </si>
  <si>
    <t>583-001</t>
  </si>
  <si>
    <t>THRIVE COMMUNITY SCHOOL</t>
  </si>
  <si>
    <t>582-001</t>
  </si>
  <si>
    <t>UNITED COMMUNITY ACADEMY</t>
  </si>
  <si>
    <t>001-770</t>
  </si>
  <si>
    <t>Naming Convention:</t>
  </si>
  <si>
    <t>Upload all Operating Budget Files to FTS folder:</t>
  </si>
  <si>
    <t>Wet signatures or electronic signatures NO later than June 20th. Upload signed document to FTS.</t>
  </si>
  <si>
    <t>Submit form on or before Budget Due Date.  Do not delay submitting this form with 901B-10.</t>
  </si>
  <si>
    <t>Wet signatures or electronic signatures. Upload signed document to FTS</t>
  </si>
  <si>
    <t>Correct School Name.</t>
  </si>
  <si>
    <t>Start Typing District / Charter Name in cell C3, Select Dropdown, then Select Correct School Name.</t>
  </si>
  <si>
    <t>If you cannot find your school name, clear cell C3, Select Dropdown, Scroll through selection, Select</t>
  </si>
  <si>
    <t>Dropdown</t>
  </si>
  <si>
    <t>Abbreviation</t>
  </si>
  <si>
    <t>Alamogordo</t>
  </si>
  <si>
    <t>ABQ-APS</t>
  </si>
  <si>
    <t>ACE</t>
  </si>
  <si>
    <t>ABQ Charter Acad.</t>
  </si>
  <si>
    <t>ABQ TDA</t>
  </si>
  <si>
    <t>Alice King</t>
  </si>
  <si>
    <t>Christine Duncan</t>
  </si>
  <si>
    <t>CAIS</t>
  </si>
  <si>
    <t>CCCS</t>
  </si>
  <si>
    <t>CIS</t>
  </si>
  <si>
    <t>Cottonwood Classical</t>
  </si>
  <si>
    <t>DATA</t>
  </si>
  <si>
    <t>East Mountain</t>
  </si>
  <si>
    <t>El Camino Real</t>
  </si>
  <si>
    <t>Gilbert Sena</t>
  </si>
  <si>
    <t>Gordon Bernell</t>
  </si>
  <si>
    <t>Health Ldrshp.</t>
  </si>
  <si>
    <t>ISMDS</t>
  </si>
  <si>
    <t>LADE</t>
  </si>
  <si>
    <t>Los Puentes</t>
  </si>
  <si>
    <t>Montessori RG</t>
  </si>
  <si>
    <t>Mtn. Mahogany</t>
  </si>
  <si>
    <t>NACA</t>
  </si>
  <si>
    <t>New Amer.</t>
  </si>
  <si>
    <t>NMIS</t>
  </si>
  <si>
    <t>Mark Armijo</t>
  </si>
  <si>
    <t>RFK</t>
  </si>
  <si>
    <t>Siembra</t>
  </si>
  <si>
    <t>South Valley</t>
  </si>
  <si>
    <t>Tech Ldrshp.</t>
  </si>
  <si>
    <t>Voz</t>
  </si>
  <si>
    <t>WWJD</t>
  </si>
  <si>
    <t/>
  </si>
  <si>
    <t>Animas</t>
  </si>
  <si>
    <t>Artesia</t>
  </si>
  <si>
    <t>Aztec</t>
  </si>
  <si>
    <t>Mosaic</t>
  </si>
  <si>
    <t>Belen</t>
  </si>
  <si>
    <t>Bloomfield</t>
  </si>
  <si>
    <t>Capitan</t>
  </si>
  <si>
    <t>Carlsbad</t>
  </si>
  <si>
    <t>JMA</t>
  </si>
  <si>
    <t>PCA</t>
  </si>
  <si>
    <t>Carrizozo</t>
  </si>
  <si>
    <t>Central</t>
  </si>
  <si>
    <t>Dream Dine</t>
  </si>
  <si>
    <t>Chama</t>
  </si>
  <si>
    <t>Cimarron</t>
  </si>
  <si>
    <t>Moreno Valley</t>
  </si>
  <si>
    <t>Clayton</t>
  </si>
  <si>
    <t>Cloudcroft</t>
  </si>
  <si>
    <t>Clovis</t>
  </si>
  <si>
    <t>Cobre</t>
  </si>
  <si>
    <t>Corona</t>
  </si>
  <si>
    <t>Cuba</t>
  </si>
  <si>
    <t>Deming</t>
  </si>
  <si>
    <t>DCCCHS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</si>
  <si>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</si>
  <si>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</si>
  <si>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</si>
  <si>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</si>
  <si>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</si>
  <si>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</si>
  <si>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</si>
  <si>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</si>
  <si>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</si>
  <si>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</si>
  <si>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Ft. Sumner</t>
  </si>
  <si>
    <t>Gadsden</t>
  </si>
  <si>
    <t>Gallup</t>
  </si>
  <si>
    <t>Grady</t>
  </si>
  <si>
    <t>Grants</t>
  </si>
  <si>
    <t>Hagerman</t>
  </si>
  <si>
    <t>Hatch</t>
  </si>
  <si>
    <t>Hobbs</t>
  </si>
  <si>
    <t>Hondo</t>
  </si>
  <si>
    <t>House</t>
  </si>
  <si>
    <t>Jal</t>
  </si>
  <si>
    <t>Jemez Mtn.</t>
  </si>
  <si>
    <t>Jemez Valley</t>
  </si>
  <si>
    <t>SDRC</t>
  </si>
  <si>
    <t>Lake Arthur</t>
  </si>
  <si>
    <t>Las Cruces</t>
  </si>
  <si>
    <t>Las Vegas</t>
  </si>
  <si>
    <t>Logan</t>
  </si>
  <si>
    <t>Lordsburg</t>
  </si>
  <si>
    <t>Los Lunas</t>
  </si>
  <si>
    <t>Loving</t>
  </si>
  <si>
    <t>Lovington</t>
  </si>
  <si>
    <t>Magdalena</t>
  </si>
  <si>
    <t>Maxwell</t>
  </si>
  <si>
    <t>Melrose</t>
  </si>
  <si>
    <t>Mesa Vista</t>
  </si>
  <si>
    <t>Moriarty</t>
  </si>
  <si>
    <t>Mosquero</t>
  </si>
  <si>
    <t>Mountainair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</si>
  <si>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</si>
  <si>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</si>
  <si>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</si>
  <si>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</si>
  <si>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</si>
  <si>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</si>
  <si>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</si>
  <si>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</si>
  <si>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</si>
  <si>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</si>
  <si>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Sidney Gutierrez</t>
  </si>
  <si>
    <t>Roy</t>
  </si>
  <si>
    <t>Ruidoso</t>
  </si>
  <si>
    <t>San Jon</t>
  </si>
  <si>
    <t>ATC</t>
  </si>
  <si>
    <t>Santa Rosa</t>
  </si>
  <si>
    <t>Silver City Cons.</t>
  </si>
  <si>
    <t>Cottonwood Valley</t>
  </si>
  <si>
    <t>Springer</t>
  </si>
  <si>
    <t>Anansi</t>
  </si>
  <si>
    <t>TMCS</t>
  </si>
  <si>
    <t>Vista Grande</t>
  </si>
  <si>
    <t>Tatum</t>
  </si>
  <si>
    <t>Texico</t>
  </si>
  <si>
    <t>T or C</t>
  </si>
  <si>
    <t>Tucumcari</t>
  </si>
  <si>
    <t>Tularosa</t>
  </si>
  <si>
    <t>Vaughn</t>
  </si>
  <si>
    <t>Wagon Mound</t>
  </si>
  <si>
    <t>W Las Vegas</t>
  </si>
  <si>
    <t>Rio Gallinas</t>
  </si>
  <si>
    <t>Zuni</t>
  </si>
  <si>
    <t>ACES Tech</t>
  </si>
  <si>
    <t>ABQ Bilingual</t>
  </si>
  <si>
    <t>ABQ Collegiate</t>
  </si>
  <si>
    <t>AIMS</t>
  </si>
  <si>
    <t>ABQ School Excell.</t>
  </si>
  <si>
    <t>ABQ Sign Lang.</t>
  </si>
  <si>
    <t>Aldo Leopold</t>
  </si>
  <si>
    <t>Alma d'Arte</t>
  </si>
  <si>
    <t>Altura Prep</t>
  </si>
  <si>
    <t>Amy Biehl</t>
  </si>
  <si>
    <t>ASK</t>
  </si>
  <si>
    <t>Cesar Chavez</t>
  </si>
  <si>
    <t>Estancia Valley</t>
  </si>
  <si>
    <t>Explore Acad.</t>
  </si>
  <si>
    <t>Explore Acad.-LC</t>
  </si>
  <si>
    <t>HAS</t>
  </si>
  <si>
    <t>Hozho</t>
  </si>
  <si>
    <t>J Paul</t>
  </si>
  <si>
    <t>LADH</t>
  </si>
  <si>
    <t>LTM</t>
  </si>
  <si>
    <t>Las Montanas</t>
  </si>
  <si>
    <t>MASTERS</t>
  </si>
  <si>
    <t>McCurdy</t>
  </si>
  <si>
    <t>Media Arts</t>
  </si>
  <si>
    <t>Middle College</t>
  </si>
  <si>
    <t>MAS</t>
  </si>
  <si>
    <t>Monte Del Sol</t>
  </si>
  <si>
    <t>Montessori Elem.</t>
  </si>
  <si>
    <t>New Amer.-LC</t>
  </si>
  <si>
    <t>NM Connections</t>
  </si>
  <si>
    <t>NMSA</t>
  </si>
  <si>
    <t>North Valley</t>
  </si>
  <si>
    <t>Raices</t>
  </si>
  <si>
    <t>RRVCS</t>
  </si>
  <si>
    <t>Roots and Wings</t>
  </si>
  <si>
    <t>SABE</t>
  </si>
  <si>
    <t>SODA</t>
  </si>
  <si>
    <t>Six Directions</t>
  </si>
  <si>
    <t>Solare Collegiate</t>
  </si>
  <si>
    <t>South Valley Prep.</t>
  </si>
  <si>
    <t>SAMS</t>
  </si>
  <si>
    <t>SWPLC</t>
  </si>
  <si>
    <t>SWSLC</t>
  </si>
  <si>
    <t>Taos Academy</t>
  </si>
  <si>
    <t>TISA</t>
  </si>
  <si>
    <t>Taos Intl.</t>
  </si>
  <si>
    <t>GREAT</t>
  </si>
  <si>
    <t>Tierra Adentro</t>
  </si>
  <si>
    <t>Tierra Encantada</t>
  </si>
  <si>
    <t>Turquoise Trail</t>
  </si>
  <si>
    <t>21st</t>
  </si>
  <si>
    <t>Walatowa</t>
  </si>
  <si>
    <t>RioGAFA</t>
  </si>
  <si>
    <t>THRIVE</t>
  </si>
  <si>
    <t>UCA</t>
  </si>
  <si>
    <t>Minimum hourly salary</t>
  </si>
  <si>
    <t>Laws 2022, ch. 54, § 4 uses a responsibility factor/multiplier per Subsection M of Section 22-10A-2 NMSA 1978 to</t>
  </si>
  <si>
    <t>ARTICLE 10A CERTIFICATION</t>
  </si>
  <si>
    <t>The department shall not approve and certify an operating budget of any school district or charter school that fails to</t>
  </si>
  <si>
    <t>demonstrate that parental involvement in the budget process was solicited.</t>
  </si>
  <si>
    <t>22-8-11 (C) Budgets; approval of operating budget</t>
  </si>
  <si>
    <t>SALARY ASSURANCES</t>
  </si>
  <si>
    <t>Signature certifies that the school district or charter school verifies that either statutory class loads are being met or that a</t>
  </si>
  <si>
    <t xml:space="preserve">waiver is in place, or that one will be requested in the upcoming budget year. </t>
  </si>
  <si>
    <t>Signature certifies that compliance with all aforementioned legislation and statutes have been adhered to in the</t>
  </si>
  <si>
    <t>Signature certifies that compliance with all aforementioned statutes have been adhered to in the development of the school</t>
  </si>
  <si>
    <t xml:space="preserve">district's or charter school's ensuing fiscal year operating budget. </t>
  </si>
  <si>
    <t xml:space="preserve">development of the school district's or charter school's ensuing fiscal year operating budget. </t>
  </si>
  <si>
    <t>Wet signatures or electronic signatures NO later than June 20th.</t>
  </si>
  <si>
    <t>Wet signature or electronic signature.</t>
  </si>
  <si>
    <t>DO NOT MAIL. Submit form NO later than June 20th.</t>
  </si>
  <si>
    <t xml:space="preserve">DO NOT MAIL. Submit form on or before Budget Due Date. </t>
  </si>
  <si>
    <t>584-001</t>
  </si>
  <si>
    <t>585-001</t>
  </si>
  <si>
    <t>Provide an additional average three percent salary increase for all public school personnel who work in a K-5 plus school pursuant</t>
  </si>
  <si>
    <t>to the K-5 Plus Act or an extended learning time program pursuant to Section 22-8-23.10 NMSA 1978</t>
  </si>
  <si>
    <t>Provide an additional average four percent salary increase to all public school personnel</t>
  </si>
  <si>
    <t>Laws 2022, ch. 54, § 4 &amp; § 8, HB2  and  Laws 2022, ch. 28, SB1</t>
  </si>
  <si>
    <t>Provide a salary increase of three percent to all public school personnel</t>
  </si>
  <si>
    <t>01 OpBud 901B-10, Salary Assurances, Article 10A and Article 8 Certification</t>
  </si>
  <si>
    <t>Contents and Instructions of 01 OpBud 901B-10 SLRY Assurance Art-10A_8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</si>
</sst>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\-000"/>
    <numFmt numFmtId="165" formatCode="[$-409]mmmm\ d\,\ 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0.5"/>
      <color theme="1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.5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3">
    <xf numFmtId="0" fontId="0" fillId="0" borderId="0" xfId="0"/>
    <xf numFmtId="0" fontId="0" fillId="2" borderId="1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1" xfId="0" applyFont="1" applyFill="1" applyBorder="1" applyAlignment="1" applyProtection="1">
      <alignment vertical="top"/>
    </xf>
    <xf numFmtId="0" fontId="0" fillId="0" borderId="2" xfId="0" applyFont="1" applyFill="1" applyBorder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/>
    <xf numFmtId="0" fontId="0" fillId="0" borderId="0" xfId="0" applyFill="1" applyProtection="1"/>
    <xf numFmtId="0" fontId="1" fillId="0" borderId="0" xfId="0" applyFont="1" applyFill="1" applyAlignment="1" applyProtection="1">
      <alignment vertical="top"/>
    </xf>
    <xf numFmtId="0" fontId="6" fillId="0" borderId="0" xfId="0" applyFont="1" applyFill="1" applyAlignment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165" fontId="14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wrapText="1"/>
    </xf>
    <xf numFmtId="0" fontId="6" fillId="0" borderId="0" xfId="0" applyFont="1" applyFill="1" applyProtection="1"/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/>
    </xf>
    <xf numFmtId="0" fontId="6" fillId="4" borderId="11" xfId="0" applyFont="1" applyFill="1" applyBorder="1" applyAlignment="1" applyProtection="1"/>
    <xf numFmtId="0" fontId="5" fillId="4" borderId="13" xfId="0" applyFont="1" applyFill="1" applyBorder="1" applyAlignment="1" applyProtection="1">
      <alignment horizontal="right"/>
    </xf>
    <xf numFmtId="0" fontId="15" fillId="4" borderId="10" xfId="0" applyFont="1" applyFill="1" applyBorder="1" applyProtection="1"/>
    <xf numFmtId="0" fontId="15" fillId="4" borderId="11" xfId="0" applyFont="1" applyFill="1" applyBorder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Protection="1"/>
    <xf numFmtId="0" fontId="9" fillId="0" borderId="0" xfId="0" applyFont="1" applyFill="1" applyAlignment="1" applyProtection="1">
      <alignment wrapText="1"/>
    </xf>
    <xf numFmtId="164" fontId="8" fillId="0" borderId="1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left" wrapText="1"/>
    </xf>
    <xf numFmtId="0" fontId="17" fillId="5" borderId="12" xfId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64" fontId="0" fillId="0" borderId="1" xfId="0" applyNumberFormat="1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horizontal="left" wrapText="1"/>
    </xf>
    <xf numFmtId="0" fontId="5" fillId="2" borderId="14" xfId="0" applyFont="1" applyFill="1" applyBorder="1"/>
    <xf numFmtId="0" fontId="5" fillId="0" borderId="14" xfId="0" applyFont="1" applyFill="1" applyBorder="1"/>
    <xf numFmtId="0" fontId="6" fillId="0" borderId="0" xfId="0" applyFont="1" applyFill="1" applyBorder="1"/>
    <xf numFmtId="0" fontId="6" fillId="0" borderId="14" xfId="0" applyFont="1" applyFill="1" applyBorder="1"/>
    <xf numFmtId="0" fontId="6" fillId="3" borderId="14" xfId="0" applyFont="1" applyFill="1" applyBorder="1"/>
    <xf numFmtId="2" fontId="6" fillId="3" borderId="14" xfId="0" applyNumberFormat="1" applyFont="1" applyFill="1" applyBorder="1"/>
    <xf numFmtId="0" fontId="0" fillId="0" borderId="14" xfId="0" applyFill="1" applyBorder="1"/>
    <xf numFmtId="0" fontId="0" fillId="0" borderId="14" xfId="0" applyFont="1" applyFill="1" applyBorder="1"/>
    <xf numFmtId="0" fontId="19" fillId="0" borderId="0" xfId="0" applyFont="1" applyFill="1" applyBorder="1" applyAlignment="1" applyProtection="1"/>
    <xf numFmtId="0" fontId="8" fillId="0" borderId="0" xfId="0" applyFont="1" applyFill="1" applyAlignment="1" applyProtection="1">
      <alignment horizontal="right"/>
    </xf>
    <xf numFmtId="0" fontId="6" fillId="0" borderId="14" xfId="0" applyFont="1" applyBorder="1"/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</xf>
    <xf numFmtId="0" fontId="0" fillId="0" borderId="16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vertical="top"/>
    </xf>
    <xf numFmtId="0" fontId="0" fillId="0" borderId="18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0" fontId="5" fillId="4" borderId="21" xfId="0" applyFont="1" applyFill="1" applyBorder="1" applyAlignment="1" applyProtection="1"/>
    <xf numFmtId="0" fontId="5" fillId="4" borderId="3" xfId="0" applyFont="1" applyFill="1" applyBorder="1" applyAlignment="1" applyProtection="1"/>
    <xf numFmtId="0" fontId="5" fillId="4" borderId="22" xfId="0" applyFont="1" applyFill="1" applyBorder="1" applyAlignment="1" applyProtection="1">
      <alignment horizontal="right"/>
    </xf>
    <xf numFmtId="0" fontId="17" fillId="6" borderId="23" xfId="1" applyFont="1" applyFill="1" applyBorder="1" applyAlignment="1" applyProtection="1">
      <alignment horizontal="center"/>
    </xf>
    <xf numFmtId="0" fontId="15" fillId="4" borderId="21" xfId="0" applyFont="1" applyFill="1" applyBorder="1" applyProtection="1"/>
    <xf numFmtId="0" fontId="15" fillId="4" borderId="3" xfId="0" applyFont="1" applyFill="1" applyBorder="1" applyProtection="1"/>
    <xf numFmtId="0" fontId="6" fillId="4" borderId="3" xfId="0" applyFont="1" applyFill="1" applyBorder="1" applyAlignment="1" applyProtection="1"/>
    <xf numFmtId="0" fontId="17" fillId="5" borderId="23" xfId="1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27" xfId="0" applyFont="1" applyFill="1" applyBorder="1" applyAlignment="1" applyProtection="1">
      <alignment horizontal="left"/>
    </xf>
    <xf numFmtId="0" fontId="11" fillId="0" borderId="26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/>
    </xf>
    <xf numFmtId="0" fontId="8" fillId="0" borderId="26" xfId="0" applyFont="1" applyFill="1" applyBorder="1" applyAlignment="1" applyProtection="1">
      <alignment horizontal="right" vertical="center"/>
    </xf>
    <xf numFmtId="0" fontId="0" fillId="0" borderId="0" xfId="0" applyBorder="1" applyProtection="1"/>
    <xf numFmtId="8" fontId="8" fillId="0" borderId="0" xfId="0" applyNumberFormat="1" applyFont="1" applyFill="1" applyBorder="1" applyAlignment="1" applyProtection="1">
      <alignment horizontal="right"/>
    </xf>
    <xf numFmtId="8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/>
    </xf>
    <xf numFmtId="8" fontId="8" fillId="0" borderId="0" xfId="0" applyNumberFormat="1" applyFont="1" applyFill="1" applyBorder="1" applyAlignment="1" applyProtection="1"/>
    <xf numFmtId="8" fontId="8" fillId="0" borderId="1" xfId="0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</xf>
    <xf numFmtId="0" fontId="3" fillId="0" borderId="16" xfId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vertical="top"/>
    </xf>
    <xf numFmtId="0" fontId="22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21" fillId="0" borderId="15" xfId="0" applyFont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13" fillId="0" borderId="15" xfId="0" applyFont="1" applyBorder="1" applyAlignment="1" applyProtection="1">
      <alignment horizontal="left"/>
    </xf>
    <xf numFmtId="0" fontId="12" fillId="0" borderId="0" xfId="0" applyFont="1" applyBorder="1" applyProtection="1"/>
    <xf numFmtId="0" fontId="13" fillId="0" borderId="17" xfId="0" applyFont="1" applyBorder="1" applyAlignment="1" applyProtection="1">
      <alignment horizontal="left"/>
    </xf>
    <xf numFmtId="0" fontId="0" fillId="0" borderId="9" xfId="0" applyFont="1" applyFill="1" applyBorder="1" applyAlignment="1" applyProtection="1">
      <alignment horizontal="left"/>
    </xf>
    <xf numFmtId="0" fontId="12" fillId="0" borderId="9" xfId="0" applyFont="1" applyBorder="1" applyProtection="1"/>
    <xf numFmtId="0" fontId="0" fillId="0" borderId="0" xfId="0" applyProtection="1"/>
    <xf numFmtId="0" fontId="21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2" fontId="8" fillId="0" borderId="0" xfId="0" applyNumberFormat="1" applyFont="1" applyFill="1" applyBorder="1" applyAlignment="1" applyProtection="1">
      <alignment horizontal="center"/>
    </xf>
    <xf numFmtId="0" fontId="8" fillId="0" borderId="26" xfId="0" applyFont="1" applyFill="1" applyBorder="1" applyProtection="1"/>
    <xf numFmtId="0" fontId="8" fillId="0" borderId="1" xfId="0" applyFont="1" applyFill="1" applyBorder="1" applyProtection="1"/>
    <xf numFmtId="0" fontId="0" fillId="0" borderId="26" xfId="0" applyBorder="1"/>
    <xf numFmtId="0" fontId="4" fillId="0" borderId="0" xfId="0" applyFont="1" applyFill="1" applyAlignment="1" applyProtection="1">
      <alignment horizontal="center" vertical="top" wrapText="1"/>
    </xf>
    <xf numFmtId="0" fontId="3" fillId="0" borderId="15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16" xfId="1" applyFont="1" applyFill="1" applyBorder="1" applyAlignment="1" applyProtection="1">
      <alignment horizontal="left"/>
    </xf>
    <xf numFmtId="0" fontId="3" fillId="0" borderId="19" xfId="1" applyFont="1" applyFill="1" applyBorder="1" applyAlignment="1" applyProtection="1">
      <alignment horizontal="left"/>
    </xf>
    <xf numFmtId="0" fontId="3" fillId="0" borderId="5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/>
    </xf>
    <xf numFmtId="0" fontId="24" fillId="0" borderId="10" xfId="0" applyFont="1" applyFill="1" applyBorder="1" applyAlignment="1" applyProtection="1">
      <alignment horizontal="center" vertical="top"/>
    </xf>
    <xf numFmtId="0" fontId="24" fillId="0" borderId="11" xfId="0" applyFont="1" applyFill="1" applyBorder="1" applyAlignment="1" applyProtection="1">
      <alignment horizontal="center" vertical="top"/>
    </xf>
    <xf numFmtId="0" fontId="24" fillId="0" borderId="13" xfId="0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0" borderId="1" xfId="0" applyNumberFormat="1" applyFont="1" applyFill="1" applyBorder="1" applyAlignment="1" applyProtection="1">
      <alignment horizontal="center" vertical="top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12" fillId="0" borderId="24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5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10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/>
      <protection locked="0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2">
    <dxf>
      <font>
        <color theme="1"/>
      </font>
      <fill>
        <patternFill>
          <bgColor theme="7" tint="0.79998168889431442"/>
        </patternFill>
      </fill>
      <border>
        <bottom style="thin">
          <color auto="1"/>
        </bottom>
        <vertical/>
        <horizontal/>
      </border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518432</xdr:colOff>
      <xdr:row>4</xdr:row>
      <xdr:rowOff>95250</xdr:rowOff>
    </xdr:from>
    <xdr:to>
      <xdr:col>5</xdr:col>
      <xdr:colOff>507546</xdr:colOff>
      <xdr:row>9</xdr:row>
      <xdr:rowOff>104775</xdr:rowOff>
    </xdr:to>
    <xdr:pic>
      <xdr:nvPicPr>
        <xdr:cNvPr id="2" name="Picture 1" descr="neweag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832" y="296636"/>
          <a:ext cx="903514" cy="9075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ebnew.ped.state.nm.u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</sheetPr>
  <dimension ref="A1:K43"/>
  <sheetViews>
    <sheetView showGridLines="0" tabSelected="1" zoomScaleNormal="100" workbookViewId="0">
      <selection activeCell="H13" sqref="H13"/>
    </sheetView>
  </sheetViews>
  <sheetFormatPr defaultColWidth="9.140625" defaultRowHeight="15" x14ac:dyDescent="0.25"/>
  <cols>
    <col min="1" max="1" width="10.5703125" style="7" bestFit="1" customWidth="1"/>
    <col min="2" max="2" width="11.28515625" style="7" customWidth="1"/>
    <col min="3" max="3" width="10.5703125" style="7" bestFit="1" customWidth="1"/>
    <col min="4" max="4" width="9.28515625" style="7" bestFit="1" customWidth="1"/>
    <col min="5" max="16384" width="9.140625" style="7"/>
  </cols>
  <sheetData>
    <row r="1" spans="1:10" ht="18" customHeight="1" x14ac:dyDescent="0.25">
      <c r="A1" s="125" t="s">
        <v>787</v>
      </c>
      <c r="B1" s="125"/>
      <c r="C1" s="125"/>
      <c r="D1" s="125"/>
      <c r="E1" s="125"/>
      <c r="F1" s="125"/>
      <c r="G1" s="125"/>
      <c r="H1" s="125"/>
    </row>
    <row r="2" spans="1:10" ht="18" customHeight="1" x14ac:dyDescent="0.25">
      <c r="A2" s="125"/>
      <c r="B2" s="125"/>
      <c r="C2" s="125"/>
      <c r="D2" s="125"/>
      <c r="E2" s="125"/>
      <c r="F2" s="125"/>
      <c r="G2" s="125"/>
      <c r="H2" s="125"/>
    </row>
    <row r="3" spans="1:10" x14ac:dyDescent="0.25">
      <c r="H3" s="8"/>
    </row>
    <row r="4" spans="1:10" x14ac:dyDescent="0.25">
      <c r="A4" s="12" t="s">
        <v>89</v>
      </c>
      <c r="C4" s="136"/>
      <c r="D4" s="136"/>
      <c r="E4" s="136"/>
      <c r="F4" s="136"/>
      <c r="G4" s="101" t="s">
        <v>578</v>
      </c>
    </row>
    <row r="5" spans="1:10" s="51" customFormat="1" ht="15" customHeight="1" x14ac:dyDescent="0.3">
      <c r="A5" s="102" t="s">
        <v>576</v>
      </c>
      <c r="B5" s="64"/>
      <c r="C5" s="64"/>
      <c r="D5" s="64"/>
      <c r="E5" s="64"/>
      <c r="F5" s="64"/>
      <c r="G5" s="64"/>
      <c r="H5" s="64"/>
      <c r="I5" s="50"/>
      <c r="J5" s="50"/>
    </row>
    <row r="6" spans="1:10" s="51" customFormat="1" ht="15" customHeight="1" x14ac:dyDescent="0.3">
      <c r="A6" s="102" t="s">
        <v>577</v>
      </c>
      <c r="B6" s="64"/>
      <c r="C6" s="64"/>
      <c r="D6" s="64"/>
      <c r="E6" s="64"/>
      <c r="F6" s="64"/>
      <c r="G6" s="64"/>
      <c r="H6" s="64"/>
      <c r="I6" s="50"/>
      <c r="J6" s="50"/>
    </row>
    <row r="7" spans="1:10" s="51" customFormat="1" ht="15" customHeight="1" x14ac:dyDescent="0.3">
      <c r="A7" s="102" t="s">
        <v>575</v>
      </c>
      <c r="B7" s="64"/>
      <c r="C7" s="64"/>
      <c r="D7" s="64"/>
      <c r="E7" s="64"/>
      <c r="F7" s="64"/>
      <c r="G7" s="64"/>
      <c r="H7" s="64"/>
      <c r="I7" s="64"/>
      <c r="J7" s="50"/>
    </row>
    <row r="8" spans="1:10" s="51" customFormat="1" ht="15" customHeight="1" x14ac:dyDescent="0.3">
      <c r="A8" s="73" t="str">
        <f>IFERROR(INDEX(PED_ONLY2!$E$2:$E$204,MATCH(Cover!H9,PED_ONLY2!$B$2:$B$204,0)),"LEA NAME")</f>
        <v>LEA NAME</v>
      </c>
      <c r="B8" s="50"/>
      <c r="C8" s="50"/>
      <c r="E8" s="50"/>
      <c r="F8" s="12"/>
      <c r="G8" s="50"/>
      <c r="H8" s="52"/>
      <c r="I8" s="50"/>
      <c r="J8" s="50"/>
    </row>
    <row r="9" spans="1:10" x14ac:dyDescent="0.25">
      <c r="A9" s="12" t="s">
        <v>1</v>
      </c>
      <c r="E9" s="8"/>
      <c r="F9" s="53"/>
      <c r="G9" s="53"/>
      <c r="H9" s="54" t="str">
        <f>IFERROR(INDEX(PED_ONLY2!$B$2:$B$257,MATCH(Cover!$C$4,PED_ONLY2!$A$2:$A$257,0)),"000-000")</f>
        <v>000-000</v>
      </c>
    </row>
    <row r="10" spans="1:10" x14ac:dyDescent="0.25">
      <c r="A10" s="12" t="s">
        <v>90</v>
      </c>
      <c r="E10" s="137" t="str">
        <f>IFERROR(INDEX(PED_ONLY2!$D$2:$D$257,MATCH(Cover!$C$4,PED_ONLY2!$A$2:$A$257,0)),"")</f>
        <v/>
      </c>
      <c r="F10" s="137"/>
      <c r="G10" s="137"/>
      <c r="H10" s="137"/>
    </row>
    <row r="11" spans="1:10" x14ac:dyDescent="0.25">
      <c r="A11" s="9" t="s">
        <v>0</v>
      </c>
      <c r="C11" s="10"/>
      <c r="E11" s="11"/>
      <c r="F11" s="11"/>
      <c r="G11" s="135" t="str">
        <f>IFERROR(INDEX(PED_ONLY2!$K$2:$K$257,MATCH(Cover!$C$4,PED_ONLY2!$A$2:$A$257,0)),"")</f>
        <v/>
      </c>
      <c r="H11" s="135"/>
    </row>
    <row r="12" spans="1:10" x14ac:dyDescent="0.25">
      <c r="A12" s="12"/>
      <c r="E12" s="11"/>
      <c r="F12" s="11"/>
      <c r="G12" s="11"/>
    </row>
    <row r="13" spans="1:10" x14ac:dyDescent="0.25">
      <c r="A13" s="12" t="s">
        <v>2</v>
      </c>
      <c r="H13" s="1">
        <v>2021</v>
      </c>
    </row>
    <row r="14" spans="1:10" x14ac:dyDescent="0.25">
      <c r="A14" s="12" t="s">
        <v>3</v>
      </c>
      <c r="H14" s="6">
        <f>H13+1</f>
        <v>2022</v>
      </c>
    </row>
    <row r="15" spans="1:10" x14ac:dyDescent="0.25">
      <c r="A15" s="12"/>
    </row>
    <row r="16" spans="1:10" x14ac:dyDescent="0.25">
      <c r="A16" s="12" t="s">
        <v>4</v>
      </c>
      <c r="H16" s="5">
        <f>H13+1</f>
        <v>2022</v>
      </c>
    </row>
    <row r="17" spans="1:11" x14ac:dyDescent="0.25">
      <c r="A17" s="12" t="s">
        <v>5</v>
      </c>
      <c r="H17" s="6">
        <f>H14+1</f>
        <v>2023</v>
      </c>
    </row>
    <row r="18" spans="1:11" ht="15.75" thickBot="1" x14ac:dyDescent="0.3">
      <c r="A18" s="12"/>
    </row>
    <row r="19" spans="1:11" ht="16.5" thickBot="1" x14ac:dyDescent="0.3">
      <c r="A19" s="132" t="s">
        <v>788</v>
      </c>
      <c r="B19" s="133"/>
      <c r="C19" s="133"/>
      <c r="D19" s="133"/>
      <c r="E19" s="133"/>
      <c r="F19" s="133"/>
      <c r="G19" s="133"/>
      <c r="H19" s="134"/>
      <c r="I19" s="11"/>
      <c r="J19" s="11"/>
      <c r="K19" s="11"/>
    </row>
    <row r="20" spans="1:11" x14ac:dyDescent="0.25">
      <c r="A20" s="126" t="s">
        <v>8</v>
      </c>
      <c r="B20" s="127"/>
      <c r="C20" s="127"/>
      <c r="D20" s="127"/>
      <c r="E20" s="127"/>
      <c r="F20" s="127"/>
      <c r="G20" s="127"/>
      <c r="H20" s="128"/>
      <c r="I20" s="103"/>
      <c r="J20" s="11"/>
      <c r="K20" s="11"/>
    </row>
    <row r="21" spans="1:11" x14ac:dyDescent="0.25">
      <c r="A21" s="104" t="s">
        <v>778</v>
      </c>
      <c r="B21" s="97"/>
      <c r="C21" s="97"/>
      <c r="D21" s="97"/>
      <c r="E21" s="97"/>
      <c r="F21" s="97"/>
      <c r="G21" s="97"/>
      <c r="H21" s="98"/>
      <c r="I21" s="103"/>
      <c r="J21" s="11"/>
      <c r="K21" s="11"/>
    </row>
    <row r="22" spans="1:11" s="51" customFormat="1" ht="15" customHeight="1" x14ac:dyDescent="0.3">
      <c r="A22" s="104" t="s">
        <v>776</v>
      </c>
      <c r="B22" s="67"/>
      <c r="C22" s="105"/>
      <c r="D22" s="106"/>
      <c r="E22" s="107"/>
      <c r="F22" s="68"/>
      <c r="G22" s="67"/>
      <c r="H22" s="69"/>
      <c r="I22" s="50"/>
      <c r="J22" s="50"/>
    </row>
    <row r="23" spans="1:11" s="51" customFormat="1" ht="15" customHeight="1" x14ac:dyDescent="0.3">
      <c r="A23" s="108" t="s">
        <v>570</v>
      </c>
      <c r="B23" s="67"/>
      <c r="C23" s="109" t="str">
        <f>CONCATENATE(A8," FY",RIGHT(H17,2), " 01 OpBud 901B-10 ", H9)</f>
        <v>LEA NAME FY23 01 OpBud 901B-10 000-000</v>
      </c>
      <c r="D23" s="105"/>
      <c r="E23" s="105"/>
      <c r="F23" s="68"/>
      <c r="G23" s="67"/>
      <c r="H23" s="69"/>
      <c r="I23" s="50"/>
      <c r="J23" s="50"/>
    </row>
    <row r="24" spans="1:11" s="51" customFormat="1" ht="15" customHeight="1" x14ac:dyDescent="0.3">
      <c r="A24" s="108" t="s">
        <v>571</v>
      </c>
      <c r="B24" s="67"/>
      <c r="C24" s="105"/>
      <c r="D24" s="105"/>
      <c r="E24" s="109" t="str">
        <f>CONCATENATE(C4,"-&gt; ","FY",RIGHT(H16,2)," -&gt; FY",RIGHT(H17,2)," OpBud -&gt; LEA Submission")</f>
        <v>-&gt; FY22 -&gt; FY23 OpBud -&gt; LEA Submission</v>
      </c>
      <c r="F24" s="68"/>
      <c r="G24" s="67"/>
      <c r="H24" s="69"/>
      <c r="I24" s="50"/>
      <c r="J24" s="50"/>
    </row>
    <row r="25" spans="1:11" x14ac:dyDescent="0.25">
      <c r="A25" s="129" t="s">
        <v>9</v>
      </c>
      <c r="B25" s="130"/>
      <c r="C25" s="130"/>
      <c r="D25" s="130"/>
      <c r="E25" s="130"/>
      <c r="F25" s="130"/>
      <c r="G25" s="130"/>
      <c r="H25" s="131"/>
      <c r="I25" s="103"/>
      <c r="J25" s="11"/>
      <c r="K25" s="11"/>
    </row>
    <row r="26" spans="1:11" s="51" customFormat="1" ht="15" customHeight="1" x14ac:dyDescent="0.3">
      <c r="A26" s="104" t="s">
        <v>779</v>
      </c>
      <c r="B26" s="67"/>
      <c r="C26" s="105"/>
      <c r="D26" s="106"/>
      <c r="E26" s="107"/>
      <c r="F26" s="68"/>
      <c r="G26" s="67"/>
      <c r="H26" s="69"/>
      <c r="I26" s="50"/>
      <c r="J26" s="50"/>
    </row>
    <row r="27" spans="1:11" s="51" customFormat="1" ht="15" customHeight="1" x14ac:dyDescent="0.3">
      <c r="A27" s="104" t="s">
        <v>777</v>
      </c>
      <c r="B27" s="67"/>
      <c r="C27" s="105"/>
      <c r="D27" s="106"/>
      <c r="E27" s="107"/>
      <c r="F27" s="68"/>
      <c r="G27" s="67"/>
      <c r="H27" s="69"/>
      <c r="I27" s="50"/>
      <c r="J27" s="50"/>
    </row>
    <row r="28" spans="1:11" s="51" customFormat="1" ht="15" customHeight="1" x14ac:dyDescent="0.3">
      <c r="A28" s="108" t="s">
        <v>570</v>
      </c>
      <c r="B28" s="67"/>
      <c r="C28" s="109" t="str">
        <f>CONCATENATE(A8," FY",RIGHT(H17,2), " 01 OpBud SLRY Assurance Art10A_8 ", H9)</f>
        <v>LEA NAME FY23 01 OpBud SLRY Assurance Art10A_8 000-000</v>
      </c>
      <c r="D28" s="105"/>
      <c r="E28" s="105"/>
      <c r="F28" s="68"/>
      <c r="G28" s="67"/>
      <c r="H28" s="69"/>
      <c r="I28" s="50"/>
      <c r="J28" s="50"/>
    </row>
    <row r="29" spans="1:11" s="51" customFormat="1" ht="15" customHeight="1" thickBot="1" x14ac:dyDescent="0.35">
      <c r="A29" s="110" t="s">
        <v>571</v>
      </c>
      <c r="B29" s="70"/>
      <c r="C29" s="111"/>
      <c r="D29" s="111"/>
      <c r="E29" s="112" t="str">
        <f>CONCATENATE(C4,"-&gt; ","FY",RIGHT(H16,2)," -&gt; FY",RIGHT(H17,2)," OpBud -&gt; LEA Submission")</f>
        <v>-&gt; FY22 -&gt; FY23 OpBud -&gt; LEA Submission</v>
      </c>
      <c r="F29" s="71"/>
      <c r="G29" s="70"/>
      <c r="H29" s="72"/>
      <c r="I29" s="50"/>
      <c r="J29" s="50"/>
    </row>
    <row r="30" spans="1:1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</sheetData>
  <sheetProtection algorithmName="SHA-512" hashValue="vXT37Na7dHSV039zZD9nueyvBNBR9siqpN0B9J8KS27fDhGusrSf9QrkyrpaRQhfka+3jNNqfLKA1oUFr3hsYg==" saltValue="tinzNtD6VoaBzqBpAMbjSQ==" spinCount="100000" sheet="1" formatCells="0" formatColumns="0" formatRows="0" insertColumns="0" insertRows="0" insertHyperlinks="0" sort="0" autoFilter="0" pivotTables="0"/>
  <mergeCells count="7">
    <mergeCell ref="A1:H2"/>
    <mergeCell ref="A20:H20"/>
    <mergeCell ref="A25:H25"/>
    <mergeCell ref="A19:H19"/>
    <mergeCell ref="G11:H11"/>
    <mergeCell ref="C4:F4"/>
    <mergeCell ref="E10:H10"/>
  </mergeCells>
  <hyperlinks>
    <hyperlink ref="A20" location="'901B-10'!A1" display="PED 901B-10 Approval of Operating Budget:  2 Originals Including Signatures are Required!  Must be mailed NO later than June 20th." xr:uid="{00000000-0004-0000-0000-000000000000}"/>
    <hyperlink ref="A25" location="Article10A_8!A1" display="Article 10A &amp; Article 8 Certification" xr:uid="{00000000-0004-0000-0000-000001000000}"/>
  </hyperlinks>
  <printOptions horizontalCentered="1"/>
  <pageMargins left="0.7" right="0.7" top="0.75" bottom="0.75" header="0.3" footer="0.3"/>
  <pageSetup orientation="portrait" horizontalDpi="1200" verticalDpi="1200" r:id="rId1"/>
  <headerFooter>
    <oddFooter>&amp;L&amp;"-,Bold"&amp;9&amp;F - &amp;A&amp;R&amp;"-,Bold"&amp;9&amp;P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OFFSET(PED_ONLY2!$J$2,,,COUNTIF(PED_ONLY2!$J$1:$J$257,"?*")-1)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79998168889431442"/>
  </sheetPr>
  <dimension ref="A1:P51"/>
  <sheetViews>
    <sheetView showGridLines="0" topLeftCell="A19" zoomScaleNormal="100" workbookViewId="0">
      <selection activeCell="H43" sqref="H43"/>
    </sheetView>
  </sheetViews>
  <sheetFormatPr defaultColWidth="9.140625" defaultRowHeight="15" x14ac:dyDescent="0.25"/>
  <cols>
    <col min="1" max="1" width="3.7109375" style="13" customWidth="1"/>
    <col min="2" max="3" width="9.140625" style="13"/>
    <col min="4" max="4" width="9.140625" style="13" customWidth="1"/>
    <col min="5" max="5" width="2.7109375" style="13" customWidth="1"/>
    <col min="6" max="6" width="13.28515625" style="13" customWidth="1"/>
    <col min="7" max="7" width="8" style="13" bestFit="1" customWidth="1"/>
    <col min="8" max="8" width="13.28515625" style="13" customWidth="1"/>
    <col min="9" max="9" width="2.7109375" style="13" customWidth="1"/>
    <col min="10" max="10" width="12.5703125" style="13" bestFit="1" customWidth="1"/>
    <col min="11" max="16384" width="9.140625" style="13"/>
  </cols>
  <sheetData>
    <row r="1" spans="1:13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6" t="s">
        <v>6</v>
      </c>
      <c r="L1" s="77" t="s">
        <v>94</v>
      </c>
      <c r="M1" s="113"/>
    </row>
    <row r="2" spans="1:13" s="51" customFormat="1" ht="15" customHeight="1" x14ac:dyDescent="0.3">
      <c r="A2" s="114" t="s">
        <v>573</v>
      </c>
      <c r="B2" s="67"/>
      <c r="C2" s="105"/>
      <c r="D2" s="106"/>
      <c r="E2" s="107"/>
      <c r="F2" s="68"/>
      <c r="G2" s="67"/>
      <c r="H2" s="52"/>
      <c r="I2" s="67"/>
      <c r="J2" s="67"/>
      <c r="K2" s="105"/>
      <c r="L2" s="105"/>
    </row>
    <row r="3" spans="1:13" s="51" customFormat="1" ht="15" customHeight="1" x14ac:dyDescent="0.3">
      <c r="A3" s="114" t="s">
        <v>574</v>
      </c>
      <c r="B3" s="67"/>
      <c r="C3" s="105"/>
      <c r="D3" s="106"/>
      <c r="E3" s="107"/>
      <c r="F3" s="68"/>
      <c r="G3" s="67"/>
      <c r="H3" s="52"/>
      <c r="I3" s="67"/>
      <c r="J3" s="67"/>
      <c r="K3" s="105"/>
      <c r="L3" s="105"/>
    </row>
    <row r="4" spans="1:13" s="51" customFormat="1" ht="15" customHeight="1" x14ac:dyDescent="0.3">
      <c r="A4" s="115" t="s">
        <v>570</v>
      </c>
      <c r="B4" s="67"/>
      <c r="C4" s="105"/>
      <c r="D4" s="105"/>
      <c r="E4" s="105"/>
      <c r="F4" s="105"/>
      <c r="G4" s="109" t="str">
        <f xml:space="preserve"> CONCATENATE(Cover!A8," FY",RIGHT(Cover!H17,2), " 01 OpBud 901B-10 ",Cover!H9)</f>
        <v>LEA NAME FY23 01 OpBud 901B-10 000-000</v>
      </c>
      <c r="H4" s="52"/>
      <c r="I4" s="67"/>
      <c r="J4" s="67"/>
      <c r="K4" s="105"/>
      <c r="L4" s="105"/>
    </row>
    <row r="5" spans="1:13" s="51" customFormat="1" ht="15" customHeight="1" x14ac:dyDescent="0.3">
      <c r="A5" s="115" t="s">
        <v>571</v>
      </c>
      <c r="B5" s="67"/>
      <c r="C5" s="105"/>
      <c r="D5" s="105"/>
      <c r="E5" s="105"/>
      <c r="F5" s="105"/>
      <c r="G5" s="109" t="str">
        <f>CONCATENATE(Cover!C4," -&gt; ","FY",RIGHT(Cover!H16,2)," -&gt; FY",RIGHT(Cover!H17,2)," OpBud -&gt; LEA Submission")</f>
        <v xml:space="preserve"> -&gt; FY22 -&gt; FY23 OpBud -&gt; LEA Submission</v>
      </c>
      <c r="H5" s="52"/>
      <c r="I5" s="67"/>
      <c r="J5" s="67"/>
      <c r="K5" s="105"/>
      <c r="L5" s="105"/>
    </row>
    <row r="6" spans="1:13" ht="15.75" x14ac:dyDescent="0.25">
      <c r="B6" s="139" t="str">
        <f>IF(OR(Cover!$G$11="Local Charter",Cover!$G$11="State Charter"),PED_ONLY!$A$4,IF(Cover!$G$11="District",PED_ONLY!$L$4,PED_ONLY!$A$2))</f>
        <v>SELECT DISTRICT, LOCAL CHARTER, OR STATE CHARTER ON COVER PAGE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3" ht="15.75" x14ac:dyDescent="0.25">
      <c r="B7" s="139" t="str">
        <f>IF(OR(Cover!$G$11="Local Charter",Cover!$G$11="State Charter"),PED_ONLY!$A$5,IF(Cover!$G$11="District",PED_ONLY!$L$5,PED_ONLY!$A$2))</f>
        <v>SELECT DISTRICT, LOCAL CHARTER, OR STATE CHARTER ON COVER PAGE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3" x14ac:dyDescent="0.25">
      <c r="B8" s="14"/>
    </row>
    <row r="9" spans="1:13" x14ac:dyDescent="0.25">
      <c r="B9" s="14" t="str">
        <f>IF(OR(Cover!$G$11="Local Charter",Cover!$G$11="State Charter"),PED_ONLY!$A$6,IF(Cover!$G$11="District",PED_ONLY!$L$6,PED_ONLY!$A$2))</f>
        <v>SELECT DISTRICT, LOCAL CHARTER, OR STATE CHARTER ON COVER PAGE</v>
      </c>
      <c r="D9" s="140">
        <f>Cover!$C$4</f>
        <v>0</v>
      </c>
      <c r="E9" s="140"/>
      <c r="F9" s="140"/>
      <c r="G9" s="140"/>
      <c r="H9" s="140"/>
      <c r="I9" s="140"/>
      <c r="J9" s="15" t="s">
        <v>1</v>
      </c>
      <c r="K9" s="16" t="str">
        <f>Cover!$H$9</f>
        <v>000-000</v>
      </c>
      <c r="M9" s="17"/>
    </row>
    <row r="10" spans="1:13" x14ac:dyDescent="0.25">
      <c r="B10" s="14" t="s">
        <v>7</v>
      </c>
      <c r="C10" s="140" t="str">
        <f>Cover!$E$10</f>
        <v/>
      </c>
      <c r="D10" s="140"/>
      <c r="E10" s="140"/>
      <c r="F10" s="140"/>
      <c r="M10" s="11"/>
    </row>
    <row r="12" spans="1:13" x14ac:dyDescent="0.25">
      <c r="B12" s="147" t="str">
        <f>CONCATENATE("Original signatures or electronic signatures must be board approved prior to June 20, ",Cover!$H$16)</f>
        <v>Original signatures or electronic signatures must be board approved prior to June 20, 2022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16"/>
    </row>
    <row r="13" spans="1:13" x14ac:dyDescent="0.25">
      <c r="B13" s="147" t="str">
        <f>CONCATENATE("and uploaded to the File Transfer Site on/or before June 20, ",Cover!$H$16)</f>
        <v>and uploaded to the File Transfer Site on/or before June 20, 2022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16"/>
    </row>
    <row r="14" spans="1:13" x14ac:dyDescent="0.25"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17"/>
    </row>
    <row r="15" spans="1:13" x14ac:dyDescent="0.25">
      <c r="B15" s="141" t="str">
        <f>IF(OR(Cover!$G$11="Local Charter",Cover!$G$11="State Charter"),PED_ONLY!$A$8,IF(Cover!$G$11="District",PED_ONLY!$L$8,PED_ONLY!$A$2))</f>
        <v>SELECT DISTRICT, LOCAL CHARTER, OR STATE CHARTER ON COVER PAGE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16"/>
    </row>
    <row r="16" spans="1:13" x14ac:dyDescent="0.25">
      <c r="B16" s="145" t="str">
        <f>IF(OR(Cover!$G$11="Local Charter",Cover!$G$11="State Charter"),PED_ONLY!$A$9,IF(Cover!$G$11="District",PED_ONLY!$L$9,PED_ONLY!$A$2))</f>
        <v>SELECT DISTRICT, LOCAL CHARTER, OR STATE CHARTER ON COVER PAGE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2:12" x14ac:dyDescent="0.25">
      <c r="B17" s="145" t="s">
        <v>10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2:12" ht="4.1500000000000004" customHeight="1" thickBot="1" x14ac:dyDescent="0.3"/>
    <row r="19" spans="2:12" x14ac:dyDescent="0.25">
      <c r="B19" s="146" t="str">
        <f>IF(OR(Cover!$G$11="Local Charter",Cover!$G$11="State Charter"),PED_ONLY!$A$10,IF(Cover!$G$11="District",PED_ONLY!$L$10,PED_ONLY!$A$2))</f>
        <v>SELECT DISTRICT, LOCAL CHARTER, OR STATE CHARTER ON COVER PAGE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2:12" x14ac:dyDescent="0.25">
      <c r="F20" s="18">
        <f>DATE(Cover!$H$16,7,1)</f>
        <v>44743</v>
      </c>
      <c r="G20" s="19" t="s">
        <v>11</v>
      </c>
      <c r="H20" s="18">
        <f>DATE(Cover!$H$17,6,30)</f>
        <v>45107</v>
      </c>
    </row>
    <row r="21" spans="2:12" ht="15" customHeight="1" x14ac:dyDescent="0.25">
      <c r="B21" s="20" t="s">
        <v>66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x14ac:dyDescent="0.25">
      <c r="B22" s="22" t="s">
        <v>12</v>
      </c>
      <c r="C22" s="23"/>
      <c r="D22" s="138"/>
      <c r="E22" s="138"/>
      <c r="F22" s="138"/>
      <c r="G22" s="23"/>
      <c r="H22" s="23"/>
      <c r="I22" s="23"/>
      <c r="J22" s="23"/>
      <c r="K22" s="23"/>
      <c r="L22" s="23"/>
    </row>
    <row r="23" spans="2:12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30" customHeight="1" x14ac:dyDescent="0.25">
      <c r="B24" s="148"/>
      <c r="C24" s="149"/>
      <c r="D24" s="149"/>
      <c r="E24" s="149"/>
      <c r="F24" s="149"/>
      <c r="G24" s="24"/>
      <c r="H24" s="24"/>
      <c r="I24" s="24"/>
      <c r="J24" s="148"/>
      <c r="K24" s="149"/>
      <c r="L24" s="149"/>
    </row>
    <row r="25" spans="2:12" x14ac:dyDescent="0.25">
      <c r="B25" s="25" t="s">
        <v>67</v>
      </c>
      <c r="C25" s="25"/>
      <c r="D25" s="25"/>
      <c r="E25" s="25"/>
      <c r="F25" s="25"/>
      <c r="G25" s="24"/>
      <c r="H25" s="24"/>
      <c r="I25" s="24"/>
      <c r="J25" s="25" t="s">
        <v>68</v>
      </c>
      <c r="K25" s="25"/>
      <c r="L25" s="25"/>
    </row>
    <row r="26" spans="2:12" ht="4.1500000000000004" customHeight="1" thickBot="1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5" customHeight="1" x14ac:dyDescent="0.25">
      <c r="B27" s="13" t="str">
        <f>IF(OR(Cover!$G$11="Local Charter",Cover!$G$11="State Charter"),PED_ONLY!$A$11,IF(Cover!$G$11="District",PED_ONLY!$L$11,PED_ONLY!$A$2))</f>
        <v>SELECT DISTRICT, LOCAL CHARTER, OR STATE CHARTER ON COVER PAGE</v>
      </c>
    </row>
    <row r="28" spans="2:12" x14ac:dyDescent="0.25">
      <c r="B28" s="27" t="s">
        <v>12</v>
      </c>
      <c r="C28" s="28"/>
      <c r="D28" s="150"/>
      <c r="E28" s="150"/>
      <c r="F28" s="150"/>
      <c r="G28" s="28"/>
      <c r="H28" s="28"/>
      <c r="I28" s="28"/>
      <c r="J28" s="28"/>
      <c r="K28" s="28"/>
      <c r="L28" s="28"/>
    </row>
    <row r="29" spans="2:12" s="29" customFormat="1" x14ac:dyDescent="0.25"/>
    <row r="30" spans="2:12" ht="30" customHeight="1" x14ac:dyDescent="0.25">
      <c r="B30" s="151"/>
      <c r="C30" s="151"/>
      <c r="D30" s="151"/>
      <c r="F30" s="152"/>
      <c r="G30" s="152"/>
      <c r="H30" s="152"/>
      <c r="J30" s="151"/>
      <c r="K30" s="151"/>
      <c r="L30" s="151"/>
    </row>
    <row r="31" spans="2:12" x14ac:dyDescent="0.25">
      <c r="B31" s="30" t="str">
        <f>IF(OR(Cover!$G$11="Local Charter",Cover!$G$11="State Charter"),PED_ONLY!$A$12,IF(Cover!$G$11="District",PED_ONLY!$L$12,PED_ONLY!$A$2))</f>
        <v>SELECT DISTRICT, LOCAL CHARTER, OR STATE CHARTER ON COVER PAGE</v>
      </c>
      <c r="C31" s="31"/>
      <c r="D31" s="31"/>
      <c r="E31" s="17"/>
      <c r="F31" s="30" t="str">
        <f>IF(OR(Cover!$G$11="Local Charter",Cover!$G$11="State Charter"),PED_ONLY!$A$13,IF(Cover!$G$11="District",PED_ONLY!$L$13,PED_ONLY!$A$2))</f>
        <v>SELECT DISTRICT, LOCAL CHARTER, OR STATE CHARTER ON COVER PAGE</v>
      </c>
      <c r="G31" s="31"/>
      <c r="H31" s="31"/>
      <c r="J31" s="30" t="str">
        <f>IF(OR(Cover!$G$11="Local Charter",Cover!$G$11="State Charter"),PED_ONLY!$A$14,IF(Cover!$G$11="District",PED_ONLY!$L$14,PED_ONLY!$A$2))</f>
        <v>SELECT DISTRICT, LOCAL CHARTER, OR STATE CHARTER ON COVER PAGE</v>
      </c>
      <c r="K31" s="30"/>
      <c r="L31" s="31"/>
    </row>
    <row r="33" spans="2:16" ht="30" customHeight="1" x14ac:dyDescent="0.25">
      <c r="B33" s="151"/>
      <c r="C33" s="151"/>
      <c r="D33" s="151"/>
      <c r="F33" s="151"/>
      <c r="G33" s="151"/>
      <c r="H33" s="151"/>
      <c r="J33" s="151"/>
      <c r="K33" s="151"/>
      <c r="L33" s="151"/>
    </row>
    <row r="34" spans="2:16" x14ac:dyDescent="0.25">
      <c r="B34" s="29" t="str">
        <f>IF(OR(Cover!$G$11="Local Charter",Cover!$G$11="State Charter"),PED_ONLY!$A$15,IF(Cover!$G$11="District",PED_ONLY!$L$15,PED_ONLY!$A$2))</f>
        <v>SELECT DISTRICT, LOCAL CHARTER, OR STATE CHARTER ON COVER PAGE</v>
      </c>
      <c r="F34" s="29" t="str">
        <f>IF(OR(Cover!$G$11="Local Charter",Cover!$G$11="State Charter"),PED_ONLY!$A$15,IF(Cover!$G$11="District",PED_ONLY!$L$15,PED_ONLY!$A$2))</f>
        <v>SELECT DISTRICT, LOCAL CHARTER, OR STATE CHARTER ON COVER PAGE</v>
      </c>
      <c r="J34" s="29" t="str">
        <f>IF(OR(Cover!$G$11="Local Charter",Cover!$G$11="State Charter"),PED_ONLY!$A$15,IF(Cover!$G$11="District",PED_ONLY!$L$15,PED_ONLY!$A$2))</f>
        <v>SELECT DISTRICT, LOCAL CHARTER, OR STATE CHARTER ON COVER PAGE</v>
      </c>
      <c r="K34" s="29"/>
    </row>
    <row r="36" spans="2:16" ht="30" customHeight="1" x14ac:dyDescent="0.25">
      <c r="B36" s="151"/>
      <c r="C36" s="151"/>
      <c r="D36" s="151"/>
      <c r="F36" s="151"/>
      <c r="G36" s="151"/>
      <c r="H36" s="151"/>
      <c r="J36" s="151"/>
      <c r="K36" s="151"/>
      <c r="L36" s="151"/>
    </row>
    <row r="37" spans="2:16" x14ac:dyDescent="0.25">
      <c r="B37" s="29" t="str">
        <f>IF(OR(Cover!$G$11="Local Charter",Cover!$G$11="State Charter"),PED_ONLY!$A$15,IF(Cover!$G$11="District",PED_ONLY!$L$15,PED_ONLY!$A$2))</f>
        <v>SELECT DISTRICT, LOCAL CHARTER, OR STATE CHARTER ON COVER PAGE</v>
      </c>
      <c r="F37" s="29" t="str">
        <f>IF(OR(Cover!$G$11="Local Charter",Cover!$G$11="State Charter"),PED_ONLY!$A$16,IF(Cover!$G$11="District",PED_ONLY!$L$16,PED_ONLY!$A$2))</f>
        <v>SELECT DISTRICT, LOCAL CHARTER, OR STATE CHARTER ON COVER PAGE</v>
      </c>
      <c r="J37" s="29" t="str">
        <f>IF(OR(Cover!$G$11="Local Charter",Cover!$G$11="State Charter"),PED_ONLY!$A$17,IF(Cover!$G$11="District",PED_ONLY!$L$17,PED_ONLY!$A$2))</f>
        <v>SELECT DISTRICT, LOCAL CHARTER, OR STATE CHARTER ON COVER PAGE</v>
      </c>
      <c r="K37" s="29"/>
      <c r="M37" s="29"/>
      <c r="N37" s="29"/>
      <c r="O37" s="29"/>
      <c r="P37" s="29"/>
    </row>
    <row r="38" spans="2:16" ht="15.75" thickBot="1" x14ac:dyDescent="0.3">
      <c r="B38" s="29"/>
      <c r="F38" s="29"/>
      <c r="J38" s="29"/>
      <c r="K38" s="29"/>
      <c r="M38" s="29"/>
      <c r="N38" s="29"/>
      <c r="O38" s="29"/>
      <c r="P38" s="29"/>
    </row>
    <row r="39" spans="2:16" ht="15.75" thickBot="1" x14ac:dyDescent="0.3">
      <c r="B39" s="160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29"/>
      <c r="N39" s="29"/>
      <c r="O39" s="29"/>
      <c r="P39" s="29"/>
    </row>
    <row r="40" spans="2:16" x14ac:dyDescent="0.25">
      <c r="M40" s="29"/>
      <c r="N40" s="29"/>
      <c r="O40" s="29"/>
      <c r="P40" s="29"/>
    </row>
    <row r="41" spans="2:16" ht="30" customHeight="1" x14ac:dyDescent="0.25">
      <c r="B41" s="140"/>
      <c r="C41" s="140"/>
      <c r="D41" s="140"/>
      <c r="F41" s="140"/>
      <c r="G41" s="140"/>
      <c r="H41" s="140"/>
      <c r="J41" s="140"/>
      <c r="K41" s="140"/>
      <c r="L41" s="140"/>
      <c r="M41" s="29"/>
      <c r="N41" s="29"/>
      <c r="O41" s="29"/>
      <c r="P41" s="29"/>
    </row>
    <row r="42" spans="2:16" x14ac:dyDescent="0.25">
      <c r="B42" s="29" t="s">
        <v>91</v>
      </c>
      <c r="F42" s="29" t="s">
        <v>92</v>
      </c>
      <c r="J42" s="29" t="s">
        <v>93</v>
      </c>
      <c r="K42" s="29"/>
    </row>
    <row r="44" spans="2:16" ht="30" customHeight="1" x14ac:dyDescent="0.25">
      <c r="D44" s="162"/>
      <c r="E44" s="162"/>
      <c r="F44" s="162"/>
      <c r="G44" s="162"/>
      <c r="H44" s="162"/>
      <c r="I44" s="162"/>
      <c r="J44" s="162"/>
    </row>
    <row r="45" spans="2:16" x14ac:dyDescent="0.25">
      <c r="D45" s="32" t="s">
        <v>552</v>
      </c>
      <c r="F45" s="17"/>
      <c r="G45" s="17"/>
      <c r="H45" s="17"/>
      <c r="I45" s="17"/>
      <c r="J45" s="17"/>
    </row>
    <row r="46" spans="2:16" x14ac:dyDescent="0.25">
      <c r="B46" s="13" t="s">
        <v>14</v>
      </c>
    </row>
    <row r="47" spans="2:16" x14ac:dyDescent="0.25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6"/>
    </row>
    <row r="48" spans="2:16" x14ac:dyDescent="0.25"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9"/>
    </row>
    <row r="49" spans="2:12" x14ac:dyDescent="0.25">
      <c r="B49" s="13" t="s">
        <v>15</v>
      </c>
      <c r="F49" s="33" t="s">
        <v>46</v>
      </c>
      <c r="G49" s="118"/>
      <c r="H49" s="33" t="s">
        <v>47</v>
      </c>
      <c r="J49" s="118"/>
    </row>
    <row r="50" spans="2:12" x14ac:dyDescent="0.25">
      <c r="B50" s="13" t="s">
        <v>16</v>
      </c>
      <c r="F50" s="140"/>
      <c r="G50" s="140"/>
      <c r="H50" s="140"/>
      <c r="I50" s="140"/>
      <c r="J50" s="140"/>
      <c r="K50" s="140"/>
      <c r="L50" s="140"/>
    </row>
    <row r="51" spans="2:12" x14ac:dyDescent="0.25">
      <c r="B51" s="13" t="s">
        <v>17</v>
      </c>
      <c r="F51" s="153"/>
      <c r="G51" s="153"/>
      <c r="H51" s="153"/>
      <c r="I51" s="153"/>
      <c r="J51" s="153"/>
      <c r="K51" s="153"/>
      <c r="L51" s="153"/>
    </row>
  </sheetData>
  <sheetProtection algorithmName="SHA-512" hashValue="54nrRKEg7xluAdCwbkk3vlt6NvOPXaNGpm8zVQ7I6KAcjD2fNvjTa36ZZHFdtzsOGeScVWgaTFixn7QUzM/Jtw==" saltValue="qxsHGn/7iCuK3hypg9NoQw==" spinCount="100000" sheet="1" formatCells="0" formatColumns="0" formatRows="0" insertColumns="0" insertRows="0" insertHyperlinks="0" sort="0" autoFilter="0" pivotTables="0"/>
  <mergeCells count="32">
    <mergeCell ref="F50:L50"/>
    <mergeCell ref="F51:L51"/>
    <mergeCell ref="B47:L48"/>
    <mergeCell ref="B33:D33"/>
    <mergeCell ref="F33:H33"/>
    <mergeCell ref="J33:L33"/>
    <mergeCell ref="B36:D36"/>
    <mergeCell ref="F36:H36"/>
    <mergeCell ref="J36:L36"/>
    <mergeCell ref="B39:L39"/>
    <mergeCell ref="B41:D41"/>
    <mergeCell ref="F41:H41"/>
    <mergeCell ref="J41:L41"/>
    <mergeCell ref="D44:J44"/>
    <mergeCell ref="B24:F24"/>
    <mergeCell ref="J24:L24"/>
    <mergeCell ref="D28:F28"/>
    <mergeCell ref="B30:D30"/>
    <mergeCell ref="F30:H30"/>
    <mergeCell ref="J30:L30"/>
    <mergeCell ref="D22:F22"/>
    <mergeCell ref="B6:L6"/>
    <mergeCell ref="B7:L7"/>
    <mergeCell ref="D9:I9"/>
    <mergeCell ref="C10:F10"/>
    <mergeCell ref="B15:L15"/>
    <mergeCell ref="B14:L14"/>
    <mergeCell ref="B16:L16"/>
    <mergeCell ref="B17:L17"/>
    <mergeCell ref="B19:L19"/>
    <mergeCell ref="B12:L12"/>
    <mergeCell ref="B13:L13"/>
  </mergeCells>
  <hyperlinks>
    <hyperlink ref="L1" location="Cover!A1" display="Cover" xr:uid="{00000000-0004-0000-0100-000001000000}"/>
  </hyperlinks>
  <printOptions horizontalCentered="1"/>
  <pageMargins left="0.45" right="0.45" top="0.5" bottom="0.75" header="0" footer="0.3"/>
  <pageSetup scale="86" orientation="portrait" horizontalDpi="1200" verticalDpi="1200" r:id="rId1"/>
  <headerFooter>
    <oddFooter>&amp;L&amp;"-,Bold"&amp;9&amp;F - &amp;A&amp;R&amp;"-,Bold"&amp;9&amp;P of &amp;N</oddFooter>
  </headerFooter>
  <rowBreaks count="1" manualBreakCount="1">
    <brk id="51" min="1" max="1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F614DE71-93AC-4F3A-AF51-822DB75731F9}">
            <xm:f>Cover!$G$11="Local Charter"</xm:f>
            <x14:dxf>
              <font>
                <color auto="1"/>
              </font>
            </x14:dxf>
          </x14:cfRule>
          <xm:sqref>B21:B22 B25 J25</xm:sqref>
        </x14:conditionalFormatting>
        <x14:conditionalFormatting xmlns:xm="http://schemas.microsoft.com/office/excel/2006/main">
          <x14:cfRule type="expression" priority="6" id="{F1C6A1ED-9895-429F-BA8F-B3B15528876D}">
            <xm:f>Cover!$G$11="Local Charter"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  <border>
                <bottom style="thin">
                  <color auto="1"/>
                </bottom>
                <vertical/>
                <horizontal/>
              </border>
            </x14:dxf>
          </x14:cfRule>
          <xm:sqref>D22:F22 B24:F24 J24:L24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 tint="0.79998168889431442"/>
  </sheetPr>
  <dimension ref="A1:J127"/>
  <sheetViews>
    <sheetView showGridLines="0" topLeftCell="A82" zoomScaleNormal="100" zoomScaleSheetLayoutView="160" workbookViewId="0">
      <selection activeCell="A115" sqref="A115:J115"/>
    </sheetView>
  </sheetViews>
  <sheetFormatPr defaultColWidth="9.140625" defaultRowHeight="14.25" x14ac:dyDescent="0.25"/>
  <cols>
    <col min="1" max="4" width="9.140625" style="38"/>
    <col min="5" max="5" width="13.7109375" style="38" customWidth="1"/>
    <col min="6" max="6" width="12.5703125" style="38" customWidth="1"/>
    <col min="7" max="7" width="13.28515625" style="38" customWidth="1"/>
    <col min="8" max="16384" width="9.140625" style="38"/>
  </cols>
  <sheetData>
    <row r="1" spans="1:10" ht="15" x14ac:dyDescent="0.25">
      <c r="A1" s="78"/>
      <c r="B1" s="79"/>
      <c r="C1" s="79"/>
      <c r="D1" s="79"/>
      <c r="E1" s="79"/>
      <c r="F1" s="80"/>
      <c r="G1" s="79"/>
      <c r="H1" s="79"/>
      <c r="I1" s="76" t="s">
        <v>6</v>
      </c>
      <c r="J1" s="81" t="s">
        <v>94</v>
      </c>
    </row>
    <row r="2" spans="1:10" s="105" customFormat="1" ht="15" customHeight="1" x14ac:dyDescent="0.3">
      <c r="A2" s="114" t="s">
        <v>572</v>
      </c>
      <c r="B2" s="67"/>
      <c r="D2" s="106"/>
      <c r="E2" s="107"/>
      <c r="F2" s="68"/>
      <c r="G2" s="67"/>
      <c r="H2" s="52"/>
      <c r="I2" s="67"/>
      <c r="J2" s="67"/>
    </row>
    <row r="3" spans="1:10" s="105" customFormat="1" ht="15" customHeight="1" x14ac:dyDescent="0.3">
      <c r="A3" s="115" t="s">
        <v>570</v>
      </c>
      <c r="B3" s="67"/>
      <c r="F3" s="109" t="str">
        <f xml:space="preserve"> CONCATENATE(Cover!A8," FY",RIGHT(Cover!H17,2), " 01 OpBud SLRY Assurance Art10A_8 ",Cover!H9)</f>
        <v>LEA NAME FY23 01 OpBud SLRY Assurance Art10A_8 000-000</v>
      </c>
      <c r="G3" s="67"/>
      <c r="H3" s="52"/>
      <c r="I3" s="67"/>
      <c r="J3" s="67"/>
    </row>
    <row r="4" spans="1:10" s="105" customFormat="1" ht="15" customHeight="1" x14ac:dyDescent="0.3">
      <c r="A4" s="115" t="s">
        <v>571</v>
      </c>
      <c r="B4" s="67"/>
      <c r="F4" s="109" t="str">
        <f>CONCATENATE(Cover!C4," -&gt;","FY",RIGHT(Cover!H16,2)," -&gt; FY",RIGHT(Cover!H17,2)," OpBud -&gt; LEA Submission")</f>
        <v xml:space="preserve"> -&gt;FY22 -&gt; FY23 OpBud -&gt; LEA Submission</v>
      </c>
      <c r="G4" s="67"/>
      <c r="H4" s="52"/>
      <c r="I4" s="67"/>
      <c r="J4" s="67"/>
    </row>
    <row r="11" spans="1:10" x14ac:dyDescent="0.25">
      <c r="A11" s="168" t="s">
        <v>18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x14ac:dyDescent="0.25">
      <c r="A12" s="168" t="s">
        <v>19</v>
      </c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x14ac:dyDescent="0.25">
      <c r="A13" s="168" t="s">
        <v>557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x14ac:dyDescent="0.25">
      <c r="A14" s="168" t="s">
        <v>20</v>
      </c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x14ac:dyDescent="0.25">
      <c r="A15" s="168" t="s">
        <v>21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x14ac:dyDescent="0.25">
      <c r="A16" s="167" t="s">
        <v>22</v>
      </c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10" x14ac:dyDescent="0.25">
      <c r="A17" s="39" t="s">
        <v>553</v>
      </c>
      <c r="J17" s="40" t="s">
        <v>555</v>
      </c>
    </row>
    <row r="18" spans="1:10" x14ac:dyDescent="0.25">
      <c r="A18" s="38" t="s">
        <v>554</v>
      </c>
      <c r="J18" s="65" t="s">
        <v>556</v>
      </c>
    </row>
    <row r="20" spans="1:10" x14ac:dyDescent="0.25">
      <c r="A20" s="166" t="str">
        <f>CONCATENATE(A22,", ",A59,", AND ", A115)</f>
        <v>SALARY ASSURANCES, ARTICLE 10A CERTIFICATION, AND ARTICLE 8 CERTIFICATION</v>
      </c>
      <c r="B20" s="166"/>
      <c r="C20" s="166"/>
      <c r="D20" s="166"/>
      <c r="E20" s="166"/>
      <c r="F20" s="166"/>
      <c r="G20" s="166"/>
      <c r="H20" s="166"/>
      <c r="I20" s="166"/>
      <c r="J20" s="166"/>
    </row>
    <row r="21" spans="1:10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163" t="s">
        <v>769</v>
      </c>
      <c r="B22" s="164"/>
      <c r="C22" s="164"/>
      <c r="D22" s="164"/>
      <c r="E22" s="164"/>
      <c r="F22" s="164"/>
      <c r="G22" s="164"/>
      <c r="H22" s="164"/>
      <c r="I22" s="164"/>
      <c r="J22" s="165"/>
    </row>
    <row r="23" spans="1:10" x14ac:dyDescent="0.25">
      <c r="A23" s="85" t="s">
        <v>785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5" x14ac:dyDescent="0.25">
      <c r="A24" s="124" t="s">
        <v>786</v>
      </c>
      <c r="B24" s="83"/>
      <c r="C24" s="83"/>
      <c r="D24" s="83"/>
      <c r="E24" s="83"/>
      <c r="F24" s="83"/>
      <c r="G24" s="83"/>
      <c r="H24" s="83"/>
      <c r="I24" s="83"/>
      <c r="J24" s="84"/>
    </row>
    <row r="25" spans="1:10" x14ac:dyDescent="0.25">
      <c r="A25" s="85"/>
      <c r="B25" s="83"/>
      <c r="C25" s="83"/>
      <c r="D25" s="83"/>
      <c r="E25" s="83"/>
      <c r="F25" s="83"/>
      <c r="G25" s="83"/>
      <c r="H25" s="83"/>
      <c r="I25" s="83"/>
      <c r="J25" s="84"/>
    </row>
    <row r="26" spans="1:10" x14ac:dyDescent="0.25">
      <c r="A26" s="86" t="s">
        <v>784</v>
      </c>
      <c r="B26" s="83"/>
      <c r="C26" s="83"/>
      <c r="D26" s="83"/>
      <c r="E26" s="121"/>
      <c r="F26" s="120"/>
      <c r="G26" s="95"/>
      <c r="H26" s="83"/>
      <c r="I26" s="83"/>
      <c r="J26" s="84"/>
    </row>
    <row r="27" spans="1:10" x14ac:dyDescent="0.25">
      <c r="A27" s="86"/>
      <c r="B27" s="83"/>
      <c r="C27" s="83"/>
      <c r="D27" s="83"/>
      <c r="E27" s="121"/>
      <c r="F27" s="120"/>
      <c r="G27" s="95"/>
      <c r="H27" s="83"/>
      <c r="I27" s="83"/>
      <c r="J27" s="84"/>
    </row>
    <row r="28" spans="1:10" x14ac:dyDescent="0.25">
      <c r="A28" s="86" t="s">
        <v>782</v>
      </c>
      <c r="B28" s="83"/>
      <c r="C28" s="83"/>
      <c r="D28" s="83"/>
      <c r="E28" s="121"/>
      <c r="F28" s="120"/>
      <c r="G28" s="95"/>
      <c r="H28" s="83"/>
      <c r="I28" s="83"/>
      <c r="J28" s="84"/>
    </row>
    <row r="29" spans="1:10" x14ac:dyDescent="0.25">
      <c r="A29" s="86" t="s">
        <v>783</v>
      </c>
      <c r="B29" s="83"/>
      <c r="C29" s="83"/>
      <c r="D29" s="83"/>
      <c r="E29" s="121"/>
      <c r="F29" s="120"/>
      <c r="G29" s="95"/>
      <c r="H29" s="83"/>
      <c r="I29" s="83"/>
      <c r="J29" s="84"/>
    </row>
    <row r="30" spans="1:10" x14ac:dyDescent="0.25">
      <c r="A30" s="86"/>
      <c r="B30" s="83"/>
      <c r="C30" s="83"/>
      <c r="D30" s="83"/>
      <c r="E30" s="121"/>
      <c r="F30" s="120"/>
      <c r="G30" s="95"/>
      <c r="H30" s="83"/>
      <c r="I30" s="83"/>
      <c r="J30" s="84"/>
    </row>
    <row r="31" spans="1:10" x14ac:dyDescent="0.25">
      <c r="A31" s="86" t="s">
        <v>551</v>
      </c>
      <c r="B31" s="83"/>
      <c r="C31" s="83"/>
      <c r="D31" s="83"/>
      <c r="E31" s="120"/>
      <c r="F31" s="91">
        <v>50000</v>
      </c>
      <c r="G31" s="92"/>
      <c r="H31" s="120"/>
      <c r="I31" s="83"/>
      <c r="J31" s="84"/>
    </row>
    <row r="32" spans="1:10" x14ac:dyDescent="0.25">
      <c r="A32" s="86" t="s">
        <v>23</v>
      </c>
      <c r="B32" s="83"/>
      <c r="C32" s="83"/>
      <c r="D32" s="83"/>
      <c r="E32" s="120"/>
      <c r="F32" s="91">
        <v>60000</v>
      </c>
      <c r="G32" s="92"/>
      <c r="H32" s="120"/>
      <c r="I32" s="83"/>
      <c r="J32" s="84"/>
    </row>
    <row r="33" spans="1:10" x14ac:dyDescent="0.25">
      <c r="A33" s="86" t="s">
        <v>24</v>
      </c>
      <c r="B33" s="83"/>
      <c r="C33" s="83"/>
      <c r="D33" s="83"/>
      <c r="E33" s="120"/>
      <c r="F33" s="91">
        <v>70000</v>
      </c>
      <c r="G33" s="92"/>
      <c r="H33" s="120"/>
      <c r="I33" s="83"/>
      <c r="J33" s="84"/>
    </row>
    <row r="34" spans="1:10" x14ac:dyDescent="0.25">
      <c r="A34" s="82"/>
      <c r="B34" s="83"/>
      <c r="C34" s="83"/>
      <c r="D34" s="83"/>
      <c r="E34" s="120"/>
      <c r="F34" s="92"/>
      <c r="G34" s="92"/>
      <c r="H34" s="120"/>
      <c r="I34" s="83"/>
      <c r="J34" s="84"/>
    </row>
    <row r="35" spans="1:10" x14ac:dyDescent="0.25">
      <c r="A35" s="86" t="s">
        <v>559</v>
      </c>
      <c r="B35" s="83"/>
      <c r="C35" s="83"/>
      <c r="D35" s="83"/>
      <c r="E35" s="120"/>
      <c r="F35" s="91">
        <v>56944</v>
      </c>
      <c r="G35" s="92"/>
      <c r="H35" s="120"/>
      <c r="I35" s="83"/>
      <c r="J35" s="84"/>
    </row>
    <row r="36" spans="1:10" x14ac:dyDescent="0.25">
      <c r="A36" s="86" t="s">
        <v>561</v>
      </c>
      <c r="B36" s="83"/>
      <c r="C36" s="83"/>
      <c r="D36" s="83"/>
      <c r="E36" s="120"/>
      <c r="F36" s="91">
        <v>68333</v>
      </c>
      <c r="G36" s="92"/>
      <c r="H36" s="120"/>
      <c r="I36" s="83"/>
      <c r="J36" s="84"/>
    </row>
    <row r="37" spans="1:10" x14ac:dyDescent="0.25">
      <c r="A37" s="86" t="s">
        <v>563</v>
      </c>
      <c r="B37" s="83"/>
      <c r="C37" s="83"/>
      <c r="D37" s="83"/>
      <c r="E37" s="120"/>
      <c r="F37" s="91">
        <v>79722</v>
      </c>
      <c r="G37" s="92"/>
      <c r="H37" s="120"/>
      <c r="I37" s="83"/>
      <c r="J37" s="84"/>
    </row>
    <row r="38" spans="1:10" x14ac:dyDescent="0.25">
      <c r="A38" s="85"/>
      <c r="B38" s="83"/>
      <c r="C38" s="83"/>
      <c r="D38" s="83"/>
      <c r="E38" s="83"/>
      <c r="F38" s="83"/>
      <c r="G38" s="83"/>
      <c r="H38" s="83"/>
      <c r="I38" s="83"/>
      <c r="J38" s="84"/>
    </row>
    <row r="39" spans="1:10" x14ac:dyDescent="0.25">
      <c r="A39" s="86" t="s">
        <v>558</v>
      </c>
      <c r="B39" s="83"/>
      <c r="C39" s="83"/>
      <c r="D39" s="83"/>
      <c r="E39" s="120"/>
      <c r="F39" s="91">
        <v>52777</v>
      </c>
      <c r="G39" s="92"/>
      <c r="H39" s="120"/>
      <c r="I39" s="83"/>
      <c r="J39" s="84"/>
    </row>
    <row r="40" spans="1:10" x14ac:dyDescent="0.25">
      <c r="A40" s="86" t="s">
        <v>560</v>
      </c>
      <c r="B40" s="83"/>
      <c r="C40" s="83"/>
      <c r="D40" s="83"/>
      <c r="E40" s="120"/>
      <c r="F40" s="91">
        <v>63333</v>
      </c>
      <c r="G40" s="92"/>
      <c r="H40" s="120"/>
      <c r="I40" s="83"/>
      <c r="J40" s="84"/>
    </row>
    <row r="41" spans="1:10" x14ac:dyDescent="0.25">
      <c r="A41" s="86" t="s">
        <v>562</v>
      </c>
      <c r="B41" s="83"/>
      <c r="C41" s="83"/>
      <c r="D41" s="83"/>
      <c r="E41" s="120"/>
      <c r="F41" s="91">
        <v>73888</v>
      </c>
      <c r="G41" s="92"/>
      <c r="H41" s="120"/>
      <c r="I41" s="83"/>
      <c r="J41" s="84"/>
    </row>
    <row r="42" spans="1:10" x14ac:dyDescent="0.25">
      <c r="A42" s="82"/>
      <c r="B42" s="83"/>
      <c r="C42" s="83"/>
      <c r="D42" s="83"/>
      <c r="E42" s="120"/>
      <c r="F42" s="92"/>
      <c r="G42" s="92"/>
      <c r="H42" s="120"/>
      <c r="I42" s="83"/>
      <c r="J42" s="84"/>
    </row>
    <row r="43" spans="1:10" x14ac:dyDescent="0.25">
      <c r="A43" s="86" t="s">
        <v>763</v>
      </c>
      <c r="B43" s="83"/>
      <c r="C43" s="83"/>
      <c r="D43" s="83"/>
      <c r="E43" s="83"/>
      <c r="F43" s="91">
        <v>15</v>
      </c>
      <c r="G43" s="83"/>
      <c r="H43" s="83"/>
      <c r="I43" s="83"/>
      <c r="J43" s="84"/>
    </row>
    <row r="44" spans="1:10" x14ac:dyDescent="0.25">
      <c r="A44" s="82"/>
      <c r="B44" s="83"/>
      <c r="C44" s="83"/>
      <c r="D44" s="83"/>
      <c r="E44" s="120"/>
      <c r="F44" s="92"/>
      <c r="G44" s="92"/>
      <c r="H44" s="120"/>
      <c r="I44" s="83"/>
      <c r="J44" s="84"/>
    </row>
    <row r="45" spans="1:10" x14ac:dyDescent="0.25">
      <c r="A45" s="86" t="s">
        <v>764</v>
      </c>
      <c r="B45" s="83"/>
      <c r="C45" s="83"/>
      <c r="D45" s="83"/>
      <c r="E45" s="83"/>
      <c r="F45" s="83"/>
      <c r="G45" s="83"/>
      <c r="H45" s="83"/>
      <c r="I45" s="83"/>
      <c r="J45" s="84"/>
    </row>
    <row r="46" spans="1:10" x14ac:dyDescent="0.25">
      <c r="A46" s="86" t="s">
        <v>550</v>
      </c>
      <c r="B46" s="83"/>
      <c r="C46" s="83"/>
      <c r="D46" s="83"/>
      <c r="E46" s="83"/>
      <c r="F46" s="83"/>
      <c r="G46" s="83"/>
      <c r="H46" s="83"/>
      <c r="I46" s="83"/>
      <c r="J46" s="84"/>
    </row>
    <row r="47" spans="1:10" x14ac:dyDescent="0.25">
      <c r="A47" s="86" t="str">
        <f>CONCATENATE("of a level 3A teacher of $",LEFT(F33,2),",000:")</f>
        <v>of a level 3A teacher of $70,000:</v>
      </c>
      <c r="B47" s="83"/>
      <c r="C47" s="83"/>
      <c r="D47" s="83"/>
      <c r="E47" s="83"/>
      <c r="F47" s="83"/>
      <c r="G47" s="83"/>
      <c r="H47" s="83"/>
      <c r="I47" s="83"/>
      <c r="J47" s="84"/>
    </row>
    <row r="48" spans="1:10" x14ac:dyDescent="0.25">
      <c r="A48" s="82"/>
      <c r="B48" s="83"/>
      <c r="C48" s="83"/>
      <c r="D48" s="83"/>
      <c r="E48" s="83"/>
      <c r="F48" s="83"/>
      <c r="G48" s="83"/>
      <c r="H48" s="83"/>
      <c r="I48" s="83"/>
      <c r="J48" s="84"/>
    </row>
    <row r="49" spans="1:10" x14ac:dyDescent="0.25">
      <c r="A49" s="82" t="s">
        <v>543</v>
      </c>
      <c r="B49" s="83"/>
      <c r="C49" s="83"/>
      <c r="D49" s="83"/>
      <c r="E49" s="93" t="s">
        <v>541</v>
      </c>
      <c r="F49" s="83"/>
      <c r="G49" s="94" t="s">
        <v>542</v>
      </c>
      <c r="H49" s="83"/>
      <c r="I49" s="83"/>
      <c r="J49" s="84"/>
    </row>
    <row r="50" spans="1:10" x14ac:dyDescent="0.25">
      <c r="A50" s="86" t="s">
        <v>544</v>
      </c>
      <c r="B50" s="83"/>
      <c r="C50" s="83"/>
      <c r="D50" s="83"/>
      <c r="E50" s="121">
        <v>1.2</v>
      </c>
      <c r="F50" s="120"/>
      <c r="G50" s="95">
        <f t="shared" ref="G50:G55" si="0">E50*$F$33</f>
        <v>84000</v>
      </c>
      <c r="H50" s="83"/>
      <c r="I50" s="83"/>
      <c r="J50" s="84"/>
    </row>
    <row r="51" spans="1:10" x14ac:dyDescent="0.25">
      <c r="A51" s="86" t="s">
        <v>545</v>
      </c>
      <c r="B51" s="83"/>
      <c r="C51" s="83"/>
      <c r="D51" s="83"/>
      <c r="E51" s="121">
        <v>1.4</v>
      </c>
      <c r="F51" s="120"/>
      <c r="G51" s="95">
        <f t="shared" si="0"/>
        <v>98000</v>
      </c>
      <c r="H51" s="83"/>
      <c r="I51" s="83"/>
      <c r="J51" s="84"/>
    </row>
    <row r="52" spans="1:10" x14ac:dyDescent="0.25">
      <c r="A52" s="86" t="s">
        <v>546</v>
      </c>
      <c r="B52" s="83"/>
      <c r="C52" s="83"/>
      <c r="D52" s="83"/>
      <c r="E52" s="121">
        <v>1.6</v>
      </c>
      <c r="F52" s="120"/>
      <c r="G52" s="95">
        <f t="shared" si="0"/>
        <v>112000</v>
      </c>
      <c r="H52" s="83"/>
      <c r="I52" s="83"/>
      <c r="J52" s="84"/>
    </row>
    <row r="53" spans="1:10" x14ac:dyDescent="0.25">
      <c r="A53" s="86" t="s">
        <v>547</v>
      </c>
      <c r="B53" s="83"/>
      <c r="C53" s="83"/>
      <c r="D53" s="83"/>
      <c r="E53" s="121">
        <v>1.1000000000000001</v>
      </c>
      <c r="F53" s="120"/>
      <c r="G53" s="95">
        <f t="shared" si="0"/>
        <v>77000</v>
      </c>
      <c r="H53" s="83"/>
      <c r="I53" s="83"/>
      <c r="J53" s="84"/>
    </row>
    <row r="54" spans="1:10" x14ac:dyDescent="0.25">
      <c r="A54" s="86" t="s">
        <v>548</v>
      </c>
      <c r="B54" s="83"/>
      <c r="C54" s="83"/>
      <c r="D54" s="83"/>
      <c r="E54" s="121">
        <v>1.1499999999999999</v>
      </c>
      <c r="F54" s="120"/>
      <c r="G54" s="95">
        <f t="shared" si="0"/>
        <v>80500</v>
      </c>
      <c r="H54" s="83"/>
      <c r="I54" s="83"/>
      <c r="J54" s="84"/>
    </row>
    <row r="55" spans="1:10" x14ac:dyDescent="0.25">
      <c r="A55" s="86" t="s">
        <v>549</v>
      </c>
      <c r="B55" s="83"/>
      <c r="C55" s="83"/>
      <c r="D55" s="83"/>
      <c r="E55" s="121">
        <v>1.25</v>
      </c>
      <c r="F55" s="120"/>
      <c r="G55" s="95">
        <f t="shared" si="0"/>
        <v>87500</v>
      </c>
      <c r="H55" s="83"/>
      <c r="I55" s="83"/>
      <c r="J55" s="84"/>
    </row>
    <row r="56" spans="1:10" x14ac:dyDescent="0.25">
      <c r="A56" s="122"/>
      <c r="B56" s="120"/>
      <c r="C56" s="120"/>
      <c r="D56" s="120"/>
      <c r="E56" s="120"/>
      <c r="F56" s="120"/>
      <c r="G56" s="120"/>
      <c r="H56" s="83"/>
      <c r="I56" s="83"/>
      <c r="J56" s="84"/>
    </row>
    <row r="57" spans="1:10" x14ac:dyDescent="0.25">
      <c r="A57" s="86" t="s">
        <v>772</v>
      </c>
      <c r="B57" s="83"/>
      <c r="C57" s="83"/>
      <c r="D57" s="83"/>
      <c r="E57" s="121"/>
      <c r="F57" s="120"/>
      <c r="G57" s="95"/>
      <c r="H57" s="83"/>
      <c r="I57" s="83"/>
      <c r="J57" s="84"/>
    </row>
    <row r="58" spans="1:10" x14ac:dyDescent="0.25">
      <c r="A58" s="87" t="s">
        <v>775</v>
      </c>
      <c r="B58" s="100"/>
      <c r="C58" s="100"/>
      <c r="D58" s="100"/>
      <c r="E58" s="123"/>
      <c r="F58" s="96"/>
      <c r="G58" s="100"/>
      <c r="H58" s="100"/>
      <c r="I58" s="100"/>
      <c r="J58" s="88"/>
    </row>
    <row r="59" spans="1:10" x14ac:dyDescent="0.25">
      <c r="A59" s="163" t="s">
        <v>765</v>
      </c>
      <c r="B59" s="164"/>
      <c r="C59" s="164"/>
      <c r="D59" s="164"/>
      <c r="E59" s="164"/>
      <c r="F59" s="164"/>
      <c r="G59" s="164"/>
      <c r="H59" s="164"/>
      <c r="I59" s="164"/>
      <c r="J59" s="165"/>
    </row>
    <row r="60" spans="1:10" x14ac:dyDescent="0.25">
      <c r="A60" s="85" t="s">
        <v>25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x14ac:dyDescent="0.25">
      <c r="A61" s="82"/>
      <c r="B61" s="83"/>
      <c r="C61" s="83"/>
      <c r="D61" s="83"/>
      <c r="E61" s="83"/>
      <c r="F61" s="83"/>
      <c r="G61" s="83"/>
      <c r="H61" s="83"/>
      <c r="I61" s="83"/>
      <c r="J61" s="84"/>
    </row>
    <row r="62" spans="1:10" x14ac:dyDescent="0.25">
      <c r="A62" s="82" t="s">
        <v>26</v>
      </c>
      <c r="B62" s="83"/>
      <c r="C62" s="83"/>
      <c r="D62" s="83"/>
      <c r="E62" s="83"/>
      <c r="F62" s="83"/>
      <c r="G62" s="83"/>
      <c r="H62" s="83"/>
      <c r="I62" s="83"/>
      <c r="J62" s="84"/>
    </row>
    <row r="63" spans="1:10" x14ac:dyDescent="0.25">
      <c r="A63" s="82"/>
      <c r="B63" s="83"/>
      <c r="C63" s="83"/>
      <c r="D63" s="83"/>
      <c r="E63" s="83"/>
      <c r="F63" s="83"/>
      <c r="G63" s="83"/>
      <c r="H63" s="83"/>
      <c r="I63" s="83"/>
      <c r="J63" s="84"/>
    </row>
    <row r="64" spans="1:10" x14ac:dyDescent="0.25">
      <c r="A64" s="82" t="s">
        <v>27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x14ac:dyDescent="0.25">
      <c r="A65" s="82" t="s">
        <v>28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x14ac:dyDescent="0.25">
      <c r="A66" s="82"/>
      <c r="B66" s="83"/>
      <c r="C66" s="83"/>
      <c r="D66" s="83"/>
      <c r="E66" s="83"/>
      <c r="F66" s="83"/>
      <c r="G66" s="83"/>
      <c r="H66" s="83"/>
      <c r="I66" s="83"/>
      <c r="J66" s="84"/>
    </row>
    <row r="67" spans="1:10" x14ac:dyDescent="0.25">
      <c r="A67" s="82" t="s">
        <v>29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x14ac:dyDescent="0.25">
      <c r="A68" s="82"/>
      <c r="B68" s="83"/>
      <c r="C68" s="83"/>
      <c r="D68" s="83"/>
      <c r="E68" s="83"/>
      <c r="F68" s="83"/>
      <c r="G68" s="83"/>
      <c r="H68" s="83"/>
      <c r="I68" s="83"/>
      <c r="J68" s="84"/>
    </row>
    <row r="69" spans="1:10" x14ac:dyDescent="0.25">
      <c r="A69" s="82" t="s">
        <v>30</v>
      </c>
      <c r="B69" s="83"/>
      <c r="C69" s="83"/>
      <c r="D69" s="83"/>
      <c r="E69" s="83"/>
      <c r="F69" s="83"/>
      <c r="G69" s="83"/>
      <c r="H69" s="83"/>
      <c r="I69" s="83"/>
      <c r="J69" s="84"/>
    </row>
    <row r="70" spans="1:10" x14ac:dyDescent="0.25">
      <c r="A70" s="82" t="s">
        <v>31</v>
      </c>
      <c r="B70" s="83"/>
      <c r="C70" s="83"/>
      <c r="D70" s="83"/>
      <c r="E70" s="83"/>
      <c r="F70" s="83"/>
      <c r="G70" s="83"/>
      <c r="H70" s="83"/>
      <c r="I70" s="83"/>
      <c r="J70" s="84"/>
    </row>
    <row r="71" spans="1:10" x14ac:dyDescent="0.25">
      <c r="A71" s="86"/>
      <c r="B71" s="83"/>
      <c r="C71" s="83"/>
      <c r="D71" s="83"/>
      <c r="E71" s="83"/>
      <c r="F71" s="83"/>
      <c r="G71" s="83"/>
      <c r="H71" s="83"/>
      <c r="I71" s="83"/>
      <c r="J71" s="84"/>
    </row>
    <row r="72" spans="1:10" x14ac:dyDescent="0.25">
      <c r="A72" s="86" t="s">
        <v>32</v>
      </c>
      <c r="B72" s="83"/>
      <c r="C72" s="83"/>
      <c r="D72" s="83"/>
      <c r="E72" s="83"/>
      <c r="F72" s="83"/>
      <c r="G72" s="83"/>
      <c r="H72" s="83"/>
      <c r="I72" s="83"/>
      <c r="J72" s="84"/>
    </row>
    <row r="73" spans="1:10" x14ac:dyDescent="0.25">
      <c r="A73" s="86" t="s">
        <v>33</v>
      </c>
      <c r="B73" s="83"/>
      <c r="C73" s="83"/>
      <c r="D73" s="83"/>
      <c r="E73" s="83"/>
      <c r="F73" s="83"/>
      <c r="G73" s="83"/>
      <c r="H73" s="83"/>
      <c r="I73" s="83"/>
      <c r="J73" s="84"/>
    </row>
    <row r="74" spans="1:10" x14ac:dyDescent="0.25">
      <c r="A74" s="86" t="s">
        <v>34</v>
      </c>
      <c r="B74" s="83"/>
      <c r="C74" s="83"/>
      <c r="D74" s="83"/>
      <c r="E74" s="83"/>
      <c r="F74" s="83"/>
      <c r="G74" s="83"/>
      <c r="H74" s="83"/>
      <c r="I74" s="83"/>
      <c r="J74" s="84"/>
    </row>
    <row r="75" spans="1:10" x14ac:dyDescent="0.25">
      <c r="A75" s="86" t="s">
        <v>35</v>
      </c>
      <c r="B75" s="83"/>
      <c r="C75" s="83"/>
      <c r="D75" s="83"/>
      <c r="E75" s="83"/>
      <c r="F75" s="83"/>
      <c r="G75" s="83"/>
      <c r="H75" s="83"/>
      <c r="I75" s="83"/>
      <c r="J75" s="84"/>
    </row>
    <row r="76" spans="1:10" x14ac:dyDescent="0.25">
      <c r="A76" s="86" t="s">
        <v>36</v>
      </c>
      <c r="B76" s="83"/>
      <c r="C76" s="83"/>
      <c r="D76" s="83"/>
      <c r="E76" s="83"/>
      <c r="F76" s="83"/>
      <c r="G76" s="83"/>
      <c r="H76" s="83"/>
      <c r="I76" s="83"/>
      <c r="J76" s="84"/>
    </row>
    <row r="77" spans="1:10" x14ac:dyDescent="0.25">
      <c r="A77" s="86"/>
      <c r="B77" s="83"/>
      <c r="C77" s="83"/>
      <c r="D77" s="83"/>
      <c r="E77" s="83"/>
      <c r="F77" s="83"/>
      <c r="G77" s="83"/>
      <c r="H77" s="83"/>
      <c r="I77" s="83"/>
      <c r="J77" s="84"/>
    </row>
    <row r="78" spans="1:10" x14ac:dyDescent="0.25">
      <c r="A78" s="85" t="s">
        <v>37</v>
      </c>
      <c r="B78" s="83"/>
      <c r="C78" s="83"/>
      <c r="D78" s="83"/>
      <c r="E78" s="83"/>
      <c r="F78" s="83"/>
      <c r="G78" s="83"/>
      <c r="H78" s="83"/>
      <c r="I78" s="83"/>
      <c r="J78" s="84"/>
    </row>
    <row r="79" spans="1:10" x14ac:dyDescent="0.25">
      <c r="A79" s="86" t="s">
        <v>38</v>
      </c>
      <c r="B79" s="83"/>
      <c r="C79" s="83"/>
      <c r="D79" s="83"/>
      <c r="E79" s="83"/>
      <c r="F79" s="83"/>
      <c r="G79" s="83"/>
      <c r="H79" s="83"/>
      <c r="I79" s="83"/>
      <c r="J79" s="84"/>
    </row>
    <row r="80" spans="1:10" x14ac:dyDescent="0.25">
      <c r="A80" s="86" t="s">
        <v>39</v>
      </c>
      <c r="B80" s="83"/>
      <c r="C80" s="83"/>
      <c r="D80" s="83"/>
      <c r="E80" s="83"/>
      <c r="F80" s="83"/>
      <c r="G80" s="83"/>
      <c r="H80" s="83"/>
      <c r="I80" s="83"/>
      <c r="J80" s="84"/>
    </row>
    <row r="81" spans="1:10" x14ac:dyDescent="0.25">
      <c r="A81" s="86" t="s">
        <v>40</v>
      </c>
      <c r="B81" s="83"/>
      <c r="C81" s="83"/>
      <c r="D81" s="83"/>
      <c r="E81" s="83"/>
      <c r="F81" s="83"/>
      <c r="G81" s="83"/>
      <c r="H81" s="83"/>
      <c r="I81" s="83"/>
      <c r="J81" s="84"/>
    </row>
    <row r="82" spans="1:10" x14ac:dyDescent="0.25">
      <c r="A82" s="86" t="s">
        <v>41</v>
      </c>
      <c r="B82" s="83"/>
      <c r="C82" s="83"/>
      <c r="D82" s="83"/>
      <c r="E82" s="83"/>
      <c r="F82" s="83"/>
      <c r="G82" s="83"/>
      <c r="H82" s="83"/>
      <c r="I82" s="83"/>
      <c r="J82" s="84"/>
    </row>
    <row r="83" spans="1:10" x14ac:dyDescent="0.25">
      <c r="A83" s="86" t="s">
        <v>42</v>
      </c>
      <c r="B83" s="83"/>
      <c r="C83" s="83"/>
      <c r="D83" s="83"/>
      <c r="E83" s="83"/>
      <c r="F83" s="83"/>
      <c r="G83" s="83"/>
      <c r="H83" s="83"/>
      <c r="I83" s="83"/>
      <c r="J83" s="84"/>
    </row>
    <row r="84" spans="1:10" x14ac:dyDescent="0.25">
      <c r="A84" s="86" t="s">
        <v>43</v>
      </c>
      <c r="B84" s="83"/>
      <c r="C84" s="83"/>
      <c r="D84" s="83"/>
      <c r="E84" s="83"/>
      <c r="F84" s="83"/>
      <c r="G84" s="83"/>
      <c r="H84" s="83"/>
      <c r="I84" s="83"/>
      <c r="J84" s="84"/>
    </row>
    <row r="85" spans="1:10" x14ac:dyDescent="0.25">
      <c r="A85" s="86" t="s">
        <v>44</v>
      </c>
      <c r="B85" s="83"/>
      <c r="C85" s="83"/>
      <c r="D85" s="83"/>
      <c r="E85" s="83"/>
      <c r="F85" s="83"/>
      <c r="G85" s="83"/>
      <c r="H85" s="83"/>
      <c r="I85" s="83"/>
      <c r="J85" s="84"/>
    </row>
    <row r="86" spans="1:10" x14ac:dyDescent="0.25">
      <c r="A86" s="82"/>
      <c r="B86" s="83"/>
      <c r="C86" s="83"/>
      <c r="D86" s="83"/>
      <c r="E86" s="83"/>
      <c r="F86" s="83"/>
      <c r="G86" s="83"/>
      <c r="H86" s="83"/>
      <c r="I86" s="83"/>
      <c r="J86" s="84"/>
    </row>
    <row r="87" spans="1:10" x14ac:dyDescent="0.25">
      <c r="A87" s="82" t="s">
        <v>45</v>
      </c>
      <c r="B87" s="83"/>
      <c r="C87" s="83"/>
      <c r="D87" s="83"/>
      <c r="E87" s="83"/>
      <c r="F87" s="83"/>
      <c r="G87" s="83"/>
      <c r="H87" s="83"/>
      <c r="I87" s="83"/>
      <c r="J87" s="84"/>
    </row>
    <row r="88" spans="1:10" x14ac:dyDescent="0.25">
      <c r="A88" s="82"/>
      <c r="B88" s="83"/>
      <c r="C88" s="83"/>
      <c r="D88" s="83"/>
      <c r="E88" s="83"/>
      <c r="F88" s="83"/>
      <c r="G88" s="83"/>
      <c r="H88" s="83"/>
      <c r="I88" s="83"/>
      <c r="J88" s="84"/>
    </row>
    <row r="89" spans="1:10" ht="15" x14ac:dyDescent="0.25">
      <c r="A89" s="89"/>
      <c r="B89" s="49" t="s">
        <v>500</v>
      </c>
      <c r="C89" s="90"/>
      <c r="D89" s="90"/>
      <c r="E89" s="83"/>
      <c r="F89" s="83"/>
      <c r="G89" s="83"/>
      <c r="H89" s="83"/>
      <c r="I89" s="83"/>
      <c r="J89" s="84"/>
    </row>
    <row r="90" spans="1:10" x14ac:dyDescent="0.25">
      <c r="A90" s="82"/>
      <c r="B90" s="83"/>
      <c r="C90" s="83"/>
      <c r="D90" s="83"/>
      <c r="E90" s="83"/>
      <c r="F90" s="83"/>
      <c r="G90" s="83"/>
      <c r="H90" s="83"/>
      <c r="I90" s="83"/>
      <c r="J90" s="84"/>
    </row>
    <row r="91" spans="1:10" x14ac:dyDescent="0.25">
      <c r="A91" s="82" t="s">
        <v>540</v>
      </c>
      <c r="B91" s="83"/>
      <c r="C91" s="83"/>
      <c r="D91" s="83"/>
      <c r="E91" s="83"/>
      <c r="F91" s="83"/>
      <c r="G91" s="83"/>
      <c r="H91" s="83"/>
      <c r="I91" s="83"/>
      <c r="J91" s="84"/>
    </row>
    <row r="92" spans="1:10" x14ac:dyDescent="0.25">
      <c r="A92" s="82"/>
      <c r="B92" s="83"/>
      <c r="C92" s="83"/>
      <c r="D92" s="83"/>
      <c r="E92" s="83"/>
      <c r="F92" s="83"/>
      <c r="G92" s="83"/>
      <c r="H92" s="83"/>
      <c r="I92" s="83"/>
      <c r="J92" s="84"/>
    </row>
    <row r="93" spans="1:10" ht="15" x14ac:dyDescent="0.25">
      <c r="A93" s="89"/>
      <c r="B93" s="49" t="s">
        <v>500</v>
      </c>
      <c r="C93" s="90"/>
      <c r="D93" s="90"/>
      <c r="E93" s="83"/>
      <c r="F93" s="83"/>
      <c r="G93" s="83"/>
      <c r="H93" s="83"/>
      <c r="I93" s="83"/>
      <c r="J93" s="84"/>
    </row>
    <row r="94" spans="1:10" x14ac:dyDescent="0.25">
      <c r="A94" s="82"/>
      <c r="B94" s="83"/>
      <c r="C94" s="83"/>
      <c r="D94" s="83"/>
      <c r="E94" s="83"/>
      <c r="F94" s="83"/>
      <c r="G94" s="83"/>
      <c r="H94" s="83"/>
      <c r="I94" s="83"/>
      <c r="J94" s="84"/>
    </row>
    <row r="95" spans="1:10" x14ac:dyDescent="0.25">
      <c r="A95" s="82" t="str">
        <f>CONCATENATE("Do you intend to request a waiver pursuant to 22-10A-20 (G) NMSA 1978 in fiscal year ",Cover!H16,"-",Cover!H17,"?")</f>
        <v>Do you intend to request a waiver pursuant to 22-10A-20 (G) NMSA 1978 in fiscal year 2022-2023?</v>
      </c>
      <c r="B95" s="83"/>
      <c r="C95" s="83"/>
      <c r="D95" s="83"/>
      <c r="E95" s="83"/>
      <c r="F95" s="83"/>
      <c r="G95" s="83"/>
      <c r="H95" s="83"/>
      <c r="I95" s="83"/>
      <c r="J95" s="84"/>
    </row>
    <row r="96" spans="1:10" x14ac:dyDescent="0.25">
      <c r="A96" s="82"/>
      <c r="B96" s="83"/>
      <c r="C96" s="83"/>
      <c r="D96" s="83"/>
      <c r="E96" s="83"/>
      <c r="F96" s="83"/>
      <c r="G96" s="83"/>
      <c r="H96" s="83"/>
      <c r="I96" s="83"/>
      <c r="J96" s="84"/>
    </row>
    <row r="97" spans="1:10" ht="15" x14ac:dyDescent="0.25">
      <c r="A97" s="89"/>
      <c r="B97" s="49" t="s">
        <v>500</v>
      </c>
      <c r="C97" s="90"/>
      <c r="D97" s="90"/>
      <c r="E97" s="83"/>
      <c r="F97" s="83"/>
      <c r="G97" s="83"/>
      <c r="H97" s="83"/>
      <c r="I97" s="83"/>
      <c r="J97" s="84"/>
    </row>
    <row r="98" spans="1:10" x14ac:dyDescent="0.25">
      <c r="A98" s="82"/>
      <c r="B98" s="83"/>
      <c r="C98" s="83"/>
      <c r="D98" s="83"/>
      <c r="E98" s="83"/>
      <c r="F98" s="83"/>
      <c r="G98" s="83"/>
      <c r="H98" s="83"/>
      <c r="I98" s="83"/>
      <c r="J98" s="84"/>
    </row>
    <row r="99" spans="1:10" x14ac:dyDescent="0.25">
      <c r="A99" s="85" t="s">
        <v>48</v>
      </c>
      <c r="B99" s="83"/>
      <c r="C99" s="83"/>
      <c r="D99" s="83"/>
      <c r="E99" s="83"/>
      <c r="F99" s="83"/>
      <c r="G99" s="83"/>
      <c r="H99" s="83"/>
      <c r="I99" s="83"/>
      <c r="J99" s="84"/>
    </row>
    <row r="100" spans="1:10" x14ac:dyDescent="0.25">
      <c r="A100" s="86" t="s">
        <v>49</v>
      </c>
      <c r="B100" s="83"/>
      <c r="C100" s="83"/>
      <c r="D100" s="83"/>
      <c r="E100" s="83"/>
      <c r="F100" s="83"/>
      <c r="G100" s="83"/>
      <c r="H100" s="83"/>
      <c r="I100" s="83"/>
      <c r="J100" s="84"/>
    </row>
    <row r="101" spans="1:10" x14ac:dyDescent="0.25">
      <c r="A101" s="86" t="s">
        <v>50</v>
      </c>
      <c r="B101" s="83"/>
      <c r="C101" s="83"/>
      <c r="D101" s="83"/>
      <c r="E101" s="83"/>
      <c r="F101" s="83"/>
      <c r="G101" s="83"/>
      <c r="H101" s="83"/>
      <c r="I101" s="83"/>
      <c r="J101" s="84"/>
    </row>
    <row r="102" spans="1:10" x14ac:dyDescent="0.25">
      <c r="A102" s="86" t="s">
        <v>51</v>
      </c>
      <c r="B102" s="83"/>
      <c r="C102" s="83"/>
      <c r="D102" s="83"/>
      <c r="E102" s="83"/>
      <c r="F102" s="83"/>
      <c r="G102" s="83"/>
      <c r="H102" s="83"/>
      <c r="I102" s="83"/>
      <c r="J102" s="84"/>
    </row>
    <row r="103" spans="1:10" x14ac:dyDescent="0.25">
      <c r="A103" s="86"/>
      <c r="B103" s="83"/>
      <c r="C103" s="83"/>
      <c r="D103" s="83"/>
      <c r="E103" s="83"/>
      <c r="F103" s="83"/>
      <c r="G103" s="83"/>
      <c r="H103" s="83"/>
      <c r="I103" s="83"/>
      <c r="J103" s="84"/>
    </row>
    <row r="104" spans="1:10" x14ac:dyDescent="0.25">
      <c r="A104" s="82" t="s">
        <v>52</v>
      </c>
      <c r="B104" s="83"/>
      <c r="C104" s="83"/>
      <c r="D104" s="83"/>
      <c r="E104" s="83"/>
      <c r="F104" s="83"/>
      <c r="G104" s="83"/>
      <c r="H104" s="83"/>
      <c r="I104" s="83"/>
      <c r="J104" s="84"/>
    </row>
    <row r="105" spans="1:10" x14ac:dyDescent="0.25">
      <c r="A105" s="82"/>
      <c r="B105" s="83"/>
      <c r="C105" s="83"/>
      <c r="D105" s="83"/>
      <c r="E105" s="83"/>
      <c r="F105" s="83"/>
      <c r="G105" s="83"/>
      <c r="H105" s="83"/>
      <c r="I105" s="83"/>
      <c r="J105" s="84"/>
    </row>
    <row r="106" spans="1:10" ht="15" x14ac:dyDescent="0.25">
      <c r="A106" s="89"/>
      <c r="B106" s="49" t="s">
        <v>500</v>
      </c>
      <c r="C106" s="90"/>
      <c r="D106" s="90"/>
      <c r="E106" s="83"/>
      <c r="F106" s="83"/>
      <c r="G106" s="83"/>
      <c r="H106" s="83"/>
      <c r="I106" s="83"/>
      <c r="J106" s="84"/>
    </row>
    <row r="107" spans="1:10" x14ac:dyDescent="0.25">
      <c r="A107" s="82"/>
      <c r="B107" s="83"/>
      <c r="C107" s="83"/>
      <c r="D107" s="83"/>
      <c r="E107" s="83"/>
      <c r="F107" s="83"/>
      <c r="G107" s="83"/>
      <c r="H107" s="83"/>
      <c r="I107" s="83"/>
      <c r="J107" s="84"/>
    </row>
    <row r="108" spans="1:10" x14ac:dyDescent="0.25">
      <c r="A108" s="82" t="str">
        <f>CONCATENATE("Do you intend to request a waiver pursuant to 22-10A-20 (K) NMSA 1978 in fiscal year ",Cover!H16,"-",Cover!H17,"?")</f>
        <v>Do you intend to request a waiver pursuant to 22-10A-20 (K) NMSA 1978 in fiscal year 2022-2023?</v>
      </c>
      <c r="B108" s="83"/>
      <c r="C108" s="83"/>
      <c r="D108" s="83"/>
      <c r="E108" s="83"/>
      <c r="F108" s="83"/>
      <c r="G108" s="83"/>
      <c r="H108" s="83"/>
      <c r="I108" s="83"/>
      <c r="J108" s="84"/>
    </row>
    <row r="109" spans="1:10" x14ac:dyDescent="0.25">
      <c r="A109" s="82"/>
      <c r="B109" s="83"/>
      <c r="C109" s="83"/>
      <c r="D109" s="83"/>
      <c r="E109" s="83"/>
      <c r="F109" s="83"/>
      <c r="G109" s="83"/>
      <c r="H109" s="83"/>
      <c r="I109" s="83"/>
      <c r="J109" s="84"/>
    </row>
    <row r="110" spans="1:10" ht="15" x14ac:dyDescent="0.25">
      <c r="A110" s="89"/>
      <c r="B110" s="49" t="s">
        <v>500</v>
      </c>
      <c r="C110" s="90"/>
      <c r="D110" s="90"/>
      <c r="E110" s="83"/>
      <c r="F110" s="83"/>
      <c r="G110" s="83"/>
      <c r="H110" s="83"/>
      <c r="I110" s="83"/>
      <c r="J110" s="84"/>
    </row>
    <row r="111" spans="1:10" x14ac:dyDescent="0.25">
      <c r="A111" s="82"/>
      <c r="B111" s="83"/>
      <c r="C111" s="83"/>
      <c r="D111" s="83"/>
      <c r="E111" s="83"/>
      <c r="F111" s="83"/>
      <c r="G111" s="83"/>
      <c r="H111" s="83"/>
      <c r="I111" s="83"/>
      <c r="J111" s="84"/>
    </row>
    <row r="112" spans="1:10" x14ac:dyDescent="0.25">
      <c r="A112" s="86" t="s">
        <v>770</v>
      </c>
      <c r="B112" s="83"/>
      <c r="C112" s="83"/>
      <c r="D112" s="83"/>
      <c r="E112" s="83"/>
      <c r="F112" s="83"/>
      <c r="G112" s="83"/>
      <c r="H112" s="83"/>
      <c r="I112" s="83"/>
      <c r="J112" s="84"/>
    </row>
    <row r="113" spans="1:10" x14ac:dyDescent="0.25">
      <c r="A113" s="87" t="s">
        <v>771</v>
      </c>
      <c r="B113" s="99"/>
      <c r="C113" s="99"/>
      <c r="D113" s="99"/>
      <c r="E113" s="99"/>
      <c r="F113" s="99"/>
      <c r="G113" s="99"/>
      <c r="H113" s="99"/>
      <c r="I113" s="99"/>
      <c r="J113" s="88"/>
    </row>
    <row r="114" spans="1:10" x14ac:dyDescent="0.25">
      <c r="A114" s="41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x14ac:dyDescent="0.25">
      <c r="A115" s="163" t="s">
        <v>53</v>
      </c>
      <c r="B115" s="164"/>
      <c r="C115" s="164"/>
      <c r="D115" s="164"/>
      <c r="E115" s="164"/>
      <c r="F115" s="164"/>
      <c r="G115" s="164"/>
      <c r="H115" s="164"/>
      <c r="I115" s="164"/>
      <c r="J115" s="165"/>
    </row>
    <row r="116" spans="1:10" x14ac:dyDescent="0.25">
      <c r="A116" s="85" t="s">
        <v>768</v>
      </c>
      <c r="B116" s="83"/>
      <c r="C116" s="83"/>
      <c r="D116" s="83"/>
      <c r="E116" s="83"/>
      <c r="F116" s="83"/>
      <c r="G116" s="83"/>
      <c r="H116" s="83"/>
      <c r="I116" s="83"/>
      <c r="J116" s="84"/>
    </row>
    <row r="117" spans="1:10" x14ac:dyDescent="0.25">
      <c r="A117" s="86" t="s">
        <v>766</v>
      </c>
      <c r="B117" s="83"/>
      <c r="C117" s="83"/>
      <c r="D117" s="83"/>
      <c r="E117" s="83"/>
      <c r="F117" s="83"/>
      <c r="G117" s="83"/>
      <c r="H117" s="83"/>
      <c r="I117" s="83"/>
      <c r="J117" s="84"/>
    </row>
    <row r="118" spans="1:10" x14ac:dyDescent="0.25">
      <c r="A118" s="86" t="s">
        <v>767</v>
      </c>
      <c r="B118" s="83"/>
      <c r="C118" s="83"/>
      <c r="D118" s="83"/>
      <c r="E118" s="83"/>
      <c r="F118" s="83"/>
      <c r="G118" s="83"/>
      <c r="H118" s="83"/>
      <c r="I118" s="83"/>
      <c r="J118" s="84"/>
    </row>
    <row r="119" spans="1:10" x14ac:dyDescent="0.25">
      <c r="A119" s="85"/>
      <c r="B119" s="83"/>
      <c r="C119" s="83"/>
      <c r="D119" s="83"/>
      <c r="E119" s="83"/>
      <c r="F119" s="83"/>
      <c r="G119" s="83"/>
      <c r="H119" s="83"/>
      <c r="I119" s="83"/>
      <c r="J119" s="84"/>
    </row>
    <row r="120" spans="1:10" x14ac:dyDescent="0.25">
      <c r="A120" s="86" t="s">
        <v>773</v>
      </c>
      <c r="B120" s="83"/>
      <c r="C120" s="83"/>
      <c r="D120" s="83"/>
      <c r="E120" s="83"/>
      <c r="F120" s="83"/>
      <c r="G120" s="83"/>
      <c r="H120" s="83"/>
      <c r="I120" s="83"/>
      <c r="J120" s="84"/>
    </row>
    <row r="121" spans="1:10" x14ac:dyDescent="0.25">
      <c r="A121" s="87" t="s">
        <v>774</v>
      </c>
      <c r="B121" s="99"/>
      <c r="C121" s="99"/>
      <c r="D121" s="99"/>
      <c r="E121" s="99"/>
      <c r="F121" s="99"/>
      <c r="G121" s="99"/>
      <c r="H121" s="99"/>
      <c r="I121" s="99"/>
      <c r="J121" s="88"/>
    </row>
    <row r="122" spans="1:10" x14ac:dyDescent="0.25">
      <c r="A122" s="43"/>
      <c r="B122" s="42"/>
      <c r="C122" s="42"/>
      <c r="D122" s="42"/>
      <c r="E122" s="42"/>
      <c r="F122" s="42"/>
      <c r="G122" s="42"/>
      <c r="H122" s="55"/>
      <c r="I122" s="42"/>
      <c r="J122" s="42"/>
    </row>
    <row r="124" spans="1:10" x14ac:dyDescent="0.25">
      <c r="A124" s="169"/>
      <c r="B124" s="169"/>
      <c r="C124" s="169"/>
      <c r="D124" s="169"/>
      <c r="E124" s="169"/>
      <c r="F124" s="169"/>
      <c r="H124" s="170"/>
      <c r="I124" s="170"/>
      <c r="J124" s="170"/>
    </row>
    <row r="125" spans="1:10" x14ac:dyDescent="0.25">
      <c r="A125" s="44" t="s">
        <v>54</v>
      </c>
      <c r="H125" s="44" t="s">
        <v>55</v>
      </c>
    </row>
    <row r="126" spans="1:10" x14ac:dyDescent="0.25">
      <c r="A126" s="44"/>
      <c r="H126" s="44"/>
    </row>
    <row r="127" spans="1:10" ht="42.75" x14ac:dyDescent="0.25">
      <c r="A127" s="45" t="s">
        <v>84</v>
      </c>
      <c r="B127" s="171">
        <f>Cover!$C$4</f>
        <v>0</v>
      </c>
      <c r="C127" s="171"/>
      <c r="D127" s="171"/>
      <c r="E127" s="44" t="s">
        <v>85</v>
      </c>
      <c r="F127" s="46" t="str">
        <f>Cover!$H$9</f>
        <v>000-000</v>
      </c>
      <c r="G127" s="47" t="s">
        <v>88</v>
      </c>
      <c r="H127" s="172" t="str">
        <f>Cover!$E$10</f>
        <v/>
      </c>
      <c r="I127" s="172"/>
      <c r="J127" s="172"/>
    </row>
  </sheetData>
  <sheetProtection algorithmName="SHA-512" hashValue="x5WFog/cXLFqlhFln5dqADK6J2Nk0wRmIi4PSFGEj+EnRDa67KVD7TfKvfMRN6952K1vT5pzeI1BGC92dRgchA==" saltValue="1aFRxNAbFo7pOAxrLp82Iw==" spinCount="100000" sheet="1" formatCells="0" formatColumns="0" formatRows="0" insertColumns="0" insertRows="0" insertHyperlinks="0" sort="0" autoFilter="0" pivotTables="0"/>
  <mergeCells count="14">
    <mergeCell ref="A124:F124"/>
    <mergeCell ref="H124:J124"/>
    <mergeCell ref="A115:J115"/>
    <mergeCell ref="B127:D127"/>
    <mergeCell ref="H127:J127"/>
    <mergeCell ref="A59:J59"/>
    <mergeCell ref="A20:J20"/>
    <mergeCell ref="A22:J22"/>
    <mergeCell ref="A16:J16"/>
    <mergeCell ref="A11:J11"/>
    <mergeCell ref="A12:J12"/>
    <mergeCell ref="A13:J13"/>
    <mergeCell ref="A14:J14"/>
    <mergeCell ref="A15:J15"/>
  </mergeCells>
  <dataValidations count="1">
    <dataValidation type="list" allowBlank="1" showInputMessage="1" showErrorMessage="1" sqref="B89 B93 B97 B106 B110" xr:uid="{6F2BDFCF-7ADD-4BDE-BEE7-2AB16BBCE2CA}">
      <formula1>"Select…,Yes,No,N/A Charter School"</formula1>
    </dataValidation>
  </dataValidations>
  <hyperlinks>
    <hyperlink ref="A16" r:id="rId1" display="http://webnew.ped.state.nm.us/" xr:uid="{00000000-0004-0000-0200-000000000000}"/>
    <hyperlink ref="J1" location="Cover!A1" display="Cover" xr:uid="{00000000-0004-0000-0200-000001000000}"/>
  </hyperlinks>
  <printOptions horizontalCentered="1"/>
  <pageMargins left="0.45" right="0.45" top="0.5" bottom="0.75" header="0" footer="0.3"/>
  <pageSetup scale="88" orientation="portrait" horizontalDpi="1200" verticalDpi="1200" r:id="rId2"/>
  <headerFooter>
    <oddFooter>&amp;L&amp;"-,Bold"&amp;9&amp;F - &amp;A&amp;R&amp;"-,Bold"&amp;9&amp;P of &amp;N</oddFooter>
  </headerFooter>
  <rowBreaks count="3" manualBreakCount="3">
    <brk id="58" max="9" man="1"/>
    <brk id="113" max="9" man="1"/>
    <brk id="127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17"/>
  <sheetViews>
    <sheetView showGridLines="0" workbookViewId="0"/>
  </sheetViews>
  <sheetFormatPr defaultColWidth="9.140625" defaultRowHeight="15" x14ac:dyDescent="0.25"/>
  <cols>
    <col min="1" max="16384" width="9.140625" style="2"/>
  </cols>
  <sheetData>
    <row r="1" spans="1:21" ht="15.75" thickBot="1" x14ac:dyDescent="0.3">
      <c r="A1" s="36"/>
      <c r="B1" s="37"/>
      <c r="C1" s="37"/>
      <c r="D1" s="37"/>
      <c r="E1" s="37"/>
      <c r="F1" s="34"/>
      <c r="G1" s="37"/>
      <c r="H1" s="37"/>
      <c r="I1" s="35" t="s">
        <v>6</v>
      </c>
      <c r="J1" s="48" t="s">
        <v>94</v>
      </c>
    </row>
    <row r="2" spans="1:21" x14ac:dyDescent="0.25">
      <c r="A2" s="2" t="s">
        <v>83</v>
      </c>
    </row>
    <row r="4" spans="1:21" x14ac:dyDescent="0.25">
      <c r="A4" s="2" t="s">
        <v>57</v>
      </c>
      <c r="L4" s="2" t="s">
        <v>56</v>
      </c>
    </row>
    <row r="5" spans="1:21" x14ac:dyDescent="0.25">
      <c r="A5" s="2" t="s">
        <v>59</v>
      </c>
      <c r="L5" s="2" t="s">
        <v>58</v>
      </c>
    </row>
    <row r="6" spans="1:21" x14ac:dyDescent="0.25">
      <c r="A6" s="2" t="s">
        <v>61</v>
      </c>
      <c r="L6" s="2" t="s">
        <v>60</v>
      </c>
    </row>
    <row r="7" spans="1:21" x14ac:dyDescent="0.25">
      <c r="A7" s="2" t="s">
        <v>95</v>
      </c>
      <c r="L7" s="2" t="s">
        <v>96</v>
      </c>
    </row>
    <row r="8" spans="1:21" ht="15" customHeight="1" x14ac:dyDescent="0.25">
      <c r="A8" s="2" t="s">
        <v>63</v>
      </c>
      <c r="J8" s="3"/>
      <c r="K8" s="3"/>
      <c r="L8" s="2" t="s">
        <v>62</v>
      </c>
      <c r="U8" s="3"/>
    </row>
    <row r="9" spans="1:21" ht="15" customHeight="1" x14ac:dyDescent="0.25">
      <c r="A9" s="3" t="s">
        <v>65</v>
      </c>
      <c r="B9" s="3"/>
      <c r="C9" s="3"/>
      <c r="D9" s="3"/>
      <c r="E9" s="3"/>
      <c r="F9" s="3"/>
      <c r="G9" s="3"/>
      <c r="H9" s="3"/>
      <c r="I9" s="3"/>
      <c r="J9" s="3"/>
      <c r="K9" s="3"/>
      <c r="L9" s="2" t="s">
        <v>64</v>
      </c>
      <c r="U9" s="3"/>
    </row>
    <row r="10" spans="1:21" x14ac:dyDescent="0.25">
      <c r="A10" s="2" t="s">
        <v>86</v>
      </c>
      <c r="L10" s="2" t="s">
        <v>87</v>
      </c>
    </row>
    <row r="11" spans="1:21" ht="15" customHeight="1" x14ac:dyDescent="0.25">
      <c r="A11" s="3" t="s">
        <v>70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 t="s">
        <v>69</v>
      </c>
      <c r="U11" s="3"/>
    </row>
    <row r="12" spans="1:21" x14ac:dyDescent="0.25">
      <c r="A12" s="4" t="s">
        <v>74</v>
      </c>
      <c r="I12" s="4"/>
      <c r="J12" s="4"/>
      <c r="K12" s="4"/>
      <c r="L12" s="4" t="s">
        <v>71</v>
      </c>
    </row>
    <row r="13" spans="1:21" x14ac:dyDescent="0.25">
      <c r="A13" s="4" t="s">
        <v>75</v>
      </c>
      <c r="L13" s="4" t="s">
        <v>72</v>
      </c>
    </row>
    <row r="14" spans="1:21" x14ac:dyDescent="0.25">
      <c r="A14" s="4" t="s">
        <v>76</v>
      </c>
      <c r="L14" s="4" t="s">
        <v>73</v>
      </c>
    </row>
    <row r="15" spans="1:21" x14ac:dyDescent="0.25">
      <c r="A15" s="4" t="s">
        <v>80</v>
      </c>
      <c r="L15" s="4" t="s">
        <v>77</v>
      </c>
    </row>
    <row r="16" spans="1:21" x14ac:dyDescent="0.25">
      <c r="A16" s="4" t="s">
        <v>81</v>
      </c>
      <c r="L16" s="4" t="s">
        <v>78</v>
      </c>
    </row>
    <row r="17" spans="1:12" x14ac:dyDescent="0.25">
      <c r="A17" s="2" t="s">
        <v>82</v>
      </c>
      <c r="L17" s="2" t="s">
        <v>79</v>
      </c>
    </row>
  </sheetData>
  <sheetProtection algorithmName="SHA-512" hashValue="Ys1GltfplxJ4brnCbmNf+LsRGeSwGPclLbLyIUr5yW+U9ASg1OkOrNIuoqmpGiNF1wXltoXdRnSzCND++fi79Q==" saltValue="So1X7R9mXVOWY6ThrhrXfA==" spinCount="100000" sheet="1" objects="1" scenarios="1"/>
  <hyperlinks>
    <hyperlink ref="J1" location="Cover!A1" display="Cove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257"/>
  <sheetViews>
    <sheetView showGridLines="0" workbookViewId="0"/>
  </sheetViews>
  <sheetFormatPr defaultColWidth="9.140625" defaultRowHeight="15" x14ac:dyDescent="0.25"/>
  <cols>
    <col min="1" max="1" width="53.5703125" style="58" bestFit="1" customWidth="1"/>
    <col min="2" max="2" width="20.85546875" style="58" bestFit="1" customWidth="1"/>
    <col min="3" max="3" width="46.85546875" style="58" bestFit="1" customWidth="1"/>
    <col min="4" max="4" width="27" style="58" bestFit="1" customWidth="1"/>
    <col min="5" max="5" width="27" style="58" customWidth="1"/>
    <col min="6" max="6" width="9.140625" style="58"/>
    <col min="7" max="7" width="50.5703125" style="58" bestFit="1" customWidth="1"/>
    <col min="8" max="8" width="9.140625" style="58"/>
    <col min="9" max="9" width="12.5703125" style="58" bestFit="1" customWidth="1"/>
    <col min="10" max="10" width="28.85546875" style="58" bestFit="1" customWidth="1"/>
    <col min="11" max="11" width="11.85546875" style="58" bestFit="1" customWidth="1"/>
    <col min="12" max="16384" width="9.140625" style="58"/>
  </cols>
  <sheetData>
    <row r="1" spans="1:11" x14ac:dyDescent="0.25">
      <c r="A1" s="56" t="s">
        <v>100</v>
      </c>
      <c r="B1" s="56" t="s">
        <v>101</v>
      </c>
      <c r="C1" s="56" t="s">
        <v>102</v>
      </c>
      <c r="D1" s="56" t="s">
        <v>103</v>
      </c>
      <c r="E1" s="56" t="s">
        <v>579</v>
      </c>
      <c r="F1" s="57" t="s">
        <v>501</v>
      </c>
      <c r="G1" s="57" t="s">
        <v>502</v>
      </c>
      <c r="H1" s="57" t="s">
        <v>97</v>
      </c>
      <c r="I1" s="57" t="s">
        <v>98</v>
      </c>
      <c r="J1" s="57" t="s">
        <v>99</v>
      </c>
      <c r="K1" s="57" t="s">
        <v>539</v>
      </c>
    </row>
    <row r="2" spans="1:11" x14ac:dyDescent="0.25">
      <c r="A2" s="59" t="s">
        <v>118</v>
      </c>
      <c r="B2" s="59" t="s">
        <v>119</v>
      </c>
      <c r="C2" s="59" t="s">
        <v>120</v>
      </c>
      <c r="D2" s="59" t="s">
        <v>121</v>
      </c>
      <c r="E2" s="59" t="s">
        <v>580</v>
      </c>
      <c r="F2" s="60">
        <f>COUNTIF($A$2:$A$226,"&lt;="&amp;A2)</f>
        <v>5</v>
      </c>
      <c r="G2" s="60" t="str">
        <f>IFERROR(INDEX($A$2:$A$226,MATCH(ROWS($F$2:F2),$F$2:$F$226,0)),"")</f>
        <v>ACADEMY FOR TECH &amp; CLASSICS</v>
      </c>
      <c r="H2" s="61">
        <f>IF(ISERROR(SEARCH(Cover!$C$4,$G2)),0,1)</f>
        <v>1</v>
      </c>
      <c r="I2" s="61">
        <f>IF($H2=0,"",COUNTIF($H$2:H2,1))</f>
        <v>1</v>
      </c>
      <c r="J2" s="61" t="str">
        <f>IFERROR(INDEX(G1:G226,MATCH(ROW(I1),I1:I226,0)),"")</f>
        <v>ACADEMY FOR TECH &amp; CLASSICS</v>
      </c>
      <c r="K2" s="61" t="str">
        <f>IF(C2="D","District",IF(C2="LC","Local Charter",IF(C2="SC","State Charter","")))</f>
        <v>District</v>
      </c>
    </row>
    <row r="3" spans="1:11" x14ac:dyDescent="0.25">
      <c r="A3" s="59" t="s">
        <v>122</v>
      </c>
      <c r="B3" s="59" t="s">
        <v>123</v>
      </c>
      <c r="C3" s="59" t="s">
        <v>120</v>
      </c>
      <c r="D3" s="59" t="s">
        <v>111</v>
      </c>
      <c r="E3" s="59" t="s">
        <v>581</v>
      </c>
      <c r="F3" s="60">
        <f t="shared" ref="F3:F66" si="0">COUNTIF($A$2:$A$226,"&lt;="&amp;A3)</f>
        <v>6</v>
      </c>
      <c r="G3" s="60" t="str">
        <f>IFERROR(INDEX($A$2:$A$226,MATCH(ROWS($F$2:F3),$F$2:$F$226,0)),"")</f>
        <v>ACE LEADERSHIP</v>
      </c>
      <c r="H3" s="61">
        <f>IF(ISERROR(SEARCH(Cover!$C$4,$G3)),0,1)</f>
        <v>1</v>
      </c>
      <c r="I3" s="61">
        <f>IF($H3=0,"",COUNTIF($H$2:H3,1))</f>
        <v>2</v>
      </c>
      <c r="J3" s="61" t="str">
        <f t="shared" ref="J3:J66" si="1">IFERROR(INDEX(G2:G227,MATCH(ROW(I2),I2:I227,0)),"")</f>
        <v>ACE LEADERSHIP</v>
      </c>
      <c r="K3" s="61" t="str">
        <f t="shared" ref="K3:K66" si="2">IF(C3="D","District",IF(C3="LC","Local Charter",IF(C3="SC","State Charter","")))</f>
        <v>District</v>
      </c>
    </row>
    <row r="4" spans="1:11" x14ac:dyDescent="0.25">
      <c r="A4" s="59" t="s">
        <v>109</v>
      </c>
      <c r="B4" s="59" t="s">
        <v>110</v>
      </c>
      <c r="C4" s="59" t="s">
        <v>107</v>
      </c>
      <c r="D4" s="59" t="s">
        <v>111</v>
      </c>
      <c r="E4" s="59" t="s">
        <v>582</v>
      </c>
      <c r="F4" s="60">
        <f t="shared" si="0"/>
        <v>2</v>
      </c>
      <c r="G4" s="60" t="str">
        <f>IFERROR(INDEX($A$2:$A$226,MATCH(ROWS($F$2:F4),$F$2:$F$226,0)),"")</f>
        <v>ACES TECHNICAL CHARTER SCHOOL</v>
      </c>
      <c r="H4" s="61">
        <f>IF(ISERROR(SEARCH(Cover!$C$4,$G4)),0,1)</f>
        <v>1</v>
      </c>
      <c r="I4" s="61">
        <f>IF($H4=0,"",COUNTIF($H$2:H4,1))</f>
        <v>3</v>
      </c>
      <c r="J4" s="61" t="str">
        <f t="shared" si="1"/>
        <v>ACES TECHNICAL CHARTER SCHOOL</v>
      </c>
      <c r="K4" s="61" t="str">
        <f t="shared" si="2"/>
        <v>Local Charter</v>
      </c>
    </row>
    <row r="5" spans="1:11" x14ac:dyDescent="0.25">
      <c r="A5" s="59" t="s">
        <v>126</v>
      </c>
      <c r="B5" s="59" t="s">
        <v>127</v>
      </c>
      <c r="C5" s="59" t="s">
        <v>107</v>
      </c>
      <c r="D5" s="59" t="s">
        <v>111</v>
      </c>
      <c r="E5" s="59" t="s">
        <v>583</v>
      </c>
      <c r="F5" s="60">
        <f t="shared" si="0"/>
        <v>8</v>
      </c>
      <c r="G5" s="60" t="str">
        <f>IFERROR(INDEX($A$2:$A$226,MATCH(ROWS($F$2:F5),$F$2:$F$226,0)),"")</f>
        <v>AIMS @ UNM</v>
      </c>
      <c r="H5" s="61">
        <f>IF(ISERROR(SEARCH(Cover!$C$4,$G5)),0,1)</f>
        <v>1</v>
      </c>
      <c r="I5" s="61">
        <f>IF($H5=0,"",COUNTIF($H$2:H5,1))</f>
        <v>4</v>
      </c>
      <c r="J5" s="61" t="str">
        <f t="shared" si="1"/>
        <v>AIMS @ UNM</v>
      </c>
      <c r="K5" s="61" t="str">
        <f t="shared" si="2"/>
        <v>Local Charter</v>
      </c>
    </row>
    <row r="6" spans="1:11" x14ac:dyDescent="0.25">
      <c r="A6" s="59" t="s">
        <v>471</v>
      </c>
      <c r="B6" s="59" t="s">
        <v>472</v>
      </c>
      <c r="C6" s="59" t="s">
        <v>107</v>
      </c>
      <c r="D6" s="59" t="s">
        <v>111</v>
      </c>
      <c r="E6" s="59" t="s">
        <v>584</v>
      </c>
      <c r="F6" s="60">
        <f t="shared" si="0"/>
        <v>172</v>
      </c>
      <c r="G6" s="60" t="str">
        <f>IFERROR(INDEX($A$2:$A$226,MATCH(ROWS($F$2:F6),$F$2:$F$226,0)),"")</f>
        <v>ALAMOGORDO</v>
      </c>
      <c r="H6" s="61">
        <f>IF(ISERROR(SEARCH(Cover!$C$4,$G6)),0,1)</f>
        <v>1</v>
      </c>
      <c r="I6" s="61">
        <f>IF($H6=0,"",COUNTIF($H$2:H6,1))</f>
        <v>5</v>
      </c>
      <c r="J6" s="61" t="str">
        <f t="shared" si="1"/>
        <v>ALAMOGORDO</v>
      </c>
      <c r="K6" s="61" t="str">
        <f t="shared" si="2"/>
        <v>Local Charter</v>
      </c>
    </row>
    <row r="7" spans="1:11" x14ac:dyDescent="0.25">
      <c r="A7" s="59" t="s">
        <v>138</v>
      </c>
      <c r="B7" s="59" t="s">
        <v>139</v>
      </c>
      <c r="C7" s="59" t="s">
        <v>107</v>
      </c>
      <c r="D7" s="59" t="s">
        <v>111</v>
      </c>
      <c r="E7" s="59" t="s">
        <v>585</v>
      </c>
      <c r="F7" s="60">
        <f t="shared" si="0"/>
        <v>13</v>
      </c>
      <c r="G7" s="60" t="str">
        <f>IFERROR(INDEX($A$2:$A$226,MATCH(ROWS($F$2:F7),$F$2:$F$226,0)),"")</f>
        <v>ALBUQUERQUE</v>
      </c>
      <c r="H7" s="61">
        <f>IF(ISERROR(SEARCH(Cover!$C$4,$G7)),0,1)</f>
        <v>1</v>
      </c>
      <c r="I7" s="61">
        <f>IF($H7=0,"",COUNTIF($H$2:H7,1))</f>
        <v>6</v>
      </c>
      <c r="J7" s="61" t="str">
        <f t="shared" si="1"/>
        <v>ALBUQUERQUE</v>
      </c>
      <c r="K7" s="61" t="str">
        <f t="shared" si="2"/>
        <v>Local Charter</v>
      </c>
    </row>
    <row r="8" spans="1:11" x14ac:dyDescent="0.25">
      <c r="A8" s="59" t="s">
        <v>188</v>
      </c>
      <c r="B8" s="59" t="s">
        <v>189</v>
      </c>
      <c r="C8" s="59" t="s">
        <v>107</v>
      </c>
      <c r="D8" s="59" t="s">
        <v>111</v>
      </c>
      <c r="E8" s="59" t="s">
        <v>586</v>
      </c>
      <c r="F8" s="60">
        <f t="shared" si="0"/>
        <v>31</v>
      </c>
      <c r="G8" s="60" t="str">
        <f>IFERROR(INDEX($A$2:$A$226,MATCH(ROWS($F$2:F8),$F$2:$F$226,0)),"")</f>
        <v>ALBUQUERQUE BILINGUAL ACADEMY</v>
      </c>
      <c r="H8" s="61">
        <f>IF(ISERROR(SEARCH(Cover!$C$4,$G8)),0,1)</f>
        <v>1</v>
      </c>
      <c r="I8" s="61">
        <f>IF($H8=0,"",COUNTIF($H$2:H8,1))</f>
        <v>7</v>
      </c>
      <c r="J8" s="61" t="str">
        <f t="shared" si="1"/>
        <v>ALBUQUERQUE BILINGUAL ACADEMY</v>
      </c>
      <c r="K8" s="61" t="str">
        <f t="shared" si="2"/>
        <v>Local Charter</v>
      </c>
    </row>
    <row r="9" spans="1:11" x14ac:dyDescent="0.25">
      <c r="A9" s="59" t="s">
        <v>190</v>
      </c>
      <c r="B9" s="59" t="s">
        <v>191</v>
      </c>
      <c r="C9" s="59" t="s">
        <v>107</v>
      </c>
      <c r="D9" s="59" t="s">
        <v>111</v>
      </c>
      <c r="E9" s="59" t="s">
        <v>587</v>
      </c>
      <c r="F9" s="60">
        <f t="shared" si="0"/>
        <v>32</v>
      </c>
      <c r="G9" s="60" t="str">
        <f>IFERROR(INDEX($A$2:$A$226,MATCH(ROWS($F$2:F9),$F$2:$F$226,0)),"")</f>
        <v>ALBUQUERQUE CHARTER ACADEMY</v>
      </c>
      <c r="H9" s="61">
        <f>IF(ISERROR(SEARCH(Cover!$C$4,$G9)),0,1)</f>
        <v>1</v>
      </c>
      <c r="I9" s="61">
        <f>IF($H9=0,"",COUNTIF($H$2:H9,1))</f>
        <v>8</v>
      </c>
      <c r="J9" s="61" t="str">
        <f t="shared" si="1"/>
        <v>ALBUQUERQUE CHARTER ACADEMY</v>
      </c>
      <c r="K9" s="61" t="str">
        <f t="shared" si="2"/>
        <v>Local Charter</v>
      </c>
    </row>
    <row r="10" spans="1:11" x14ac:dyDescent="0.25">
      <c r="A10" s="59" t="s">
        <v>205</v>
      </c>
      <c r="B10" s="59" t="s">
        <v>206</v>
      </c>
      <c r="C10" s="59" t="s">
        <v>107</v>
      </c>
      <c r="D10" s="59" t="s">
        <v>111</v>
      </c>
      <c r="E10" s="59" t="s">
        <v>588</v>
      </c>
      <c r="F10" s="60">
        <f t="shared" si="0"/>
        <v>38</v>
      </c>
      <c r="G10" s="60" t="str">
        <f>IFERROR(INDEX($A$2:$A$226,MATCH(ROWS($F$2:F10),$F$2:$F$226,0)),"")</f>
        <v>ALBUQUERQUE COLLEGIATE</v>
      </c>
      <c r="H10" s="61">
        <f>IF(ISERROR(SEARCH(Cover!$C$4,$G10)),0,1)</f>
        <v>1</v>
      </c>
      <c r="I10" s="61">
        <f>IF($H10=0,"",COUNTIF($H$2:H10,1))</f>
        <v>9</v>
      </c>
      <c r="J10" s="61" t="str">
        <f t="shared" si="1"/>
        <v>ALBUQUERQUE COLLEGIATE</v>
      </c>
      <c r="K10" s="61" t="str">
        <f t="shared" si="2"/>
        <v>Local Charter</v>
      </c>
    </row>
    <row r="11" spans="1:11" x14ac:dyDescent="0.25">
      <c r="A11" s="59" t="s">
        <v>210</v>
      </c>
      <c r="B11" s="59" t="s">
        <v>211</v>
      </c>
      <c r="C11" s="59" t="s">
        <v>107</v>
      </c>
      <c r="D11" s="59" t="s">
        <v>111</v>
      </c>
      <c r="E11" s="59" t="s">
        <v>589</v>
      </c>
      <c r="F11" s="60">
        <f t="shared" si="0"/>
        <v>40</v>
      </c>
      <c r="G11" s="60" t="str">
        <f>IFERROR(INDEX($A$2:$A$226,MATCH(ROWS($F$2:F11),$F$2:$F$226,0)),"")</f>
        <v>ALBUQUERQUE SCHOOL OF EXCELLENCE</v>
      </c>
      <c r="H11" s="61">
        <f>IF(ISERROR(SEARCH(Cover!$C$4,$G11)),0,1)</f>
        <v>1</v>
      </c>
      <c r="I11" s="61">
        <f>IF($H11=0,"",COUNTIF($H$2:H11,1))</f>
        <v>10</v>
      </c>
      <c r="J11" s="61" t="str">
        <f t="shared" si="1"/>
        <v>ALBUQUERQUE SCHOOL OF EXCELLENCE</v>
      </c>
      <c r="K11" s="61" t="str">
        <f t="shared" si="2"/>
        <v>Local Charter</v>
      </c>
    </row>
    <row r="12" spans="1:11" x14ac:dyDescent="0.25">
      <c r="A12" s="59" t="s">
        <v>212</v>
      </c>
      <c r="B12" s="59" t="s">
        <v>213</v>
      </c>
      <c r="C12" s="59" t="s">
        <v>107</v>
      </c>
      <c r="D12" s="59" t="s">
        <v>111</v>
      </c>
      <c r="E12" s="59" t="s">
        <v>590</v>
      </c>
      <c r="F12" s="60">
        <f t="shared" si="0"/>
        <v>41</v>
      </c>
      <c r="G12" s="60" t="str">
        <f>IFERROR(INDEX($A$2:$A$226,MATCH(ROWS($F$2:F12),$F$2:$F$226,0)),"")</f>
        <v>ALBUQUERQUE SIGN LANGUAGE</v>
      </c>
      <c r="H12" s="61">
        <f>IF(ISERROR(SEARCH(Cover!$C$4,$G12)),0,1)</f>
        <v>1</v>
      </c>
      <c r="I12" s="61">
        <f>IF($H12=0,"",COUNTIF($H$2:H12,1))</f>
        <v>11</v>
      </c>
      <c r="J12" s="61" t="str">
        <f t="shared" si="1"/>
        <v>ALBUQUERQUE SIGN LANGUAGE</v>
      </c>
      <c r="K12" s="61" t="str">
        <f t="shared" si="2"/>
        <v>Local Charter</v>
      </c>
    </row>
    <row r="13" spans="1:11" x14ac:dyDescent="0.25">
      <c r="A13" s="59" t="s">
        <v>235</v>
      </c>
      <c r="B13" s="59" t="s">
        <v>236</v>
      </c>
      <c r="C13" s="59" t="s">
        <v>107</v>
      </c>
      <c r="D13" s="59" t="s">
        <v>111</v>
      </c>
      <c r="E13" s="59" t="s">
        <v>591</v>
      </c>
      <c r="F13" s="60">
        <f t="shared" si="0"/>
        <v>49</v>
      </c>
      <c r="G13" s="60" t="str">
        <f>IFERROR(INDEX($A$2:$A$226,MATCH(ROWS($F$2:F13),$F$2:$F$226,0)),"")</f>
        <v>ALDO LEOPOLD ST. CHARTER</v>
      </c>
      <c r="H13" s="61">
        <f>IF(ISERROR(SEARCH(Cover!$C$4,$G13)),0,1)</f>
        <v>1</v>
      </c>
      <c r="I13" s="61">
        <f>IF($H13=0,"",COUNTIF($H$2:H13,1))</f>
        <v>12</v>
      </c>
      <c r="J13" s="61" t="str">
        <f t="shared" si="1"/>
        <v>ALDO LEOPOLD ST. CHARTER</v>
      </c>
      <c r="K13" s="61" t="str">
        <f t="shared" si="2"/>
        <v>Local Charter</v>
      </c>
    </row>
    <row r="14" spans="1:11" x14ac:dyDescent="0.25">
      <c r="A14" s="59" t="s">
        <v>244</v>
      </c>
      <c r="B14" s="59" t="s">
        <v>245</v>
      </c>
      <c r="C14" s="59" t="s">
        <v>107</v>
      </c>
      <c r="D14" s="59" t="s">
        <v>111</v>
      </c>
      <c r="E14" s="59" t="s">
        <v>592</v>
      </c>
      <c r="F14" s="60">
        <f t="shared" si="0"/>
        <v>53</v>
      </c>
      <c r="G14" s="60" t="str">
        <f>IFERROR(INDEX($A$2:$A$226,MATCH(ROWS($F$2:F14),$F$2:$F$226,0)),"")</f>
        <v>ALICE KING COMMUNITY SCHOOL</v>
      </c>
      <c r="H14" s="61">
        <f>IF(ISERROR(SEARCH(Cover!$C$4,$G14)),0,1)</f>
        <v>1</v>
      </c>
      <c r="I14" s="61">
        <f>IF($H14=0,"",COUNTIF($H$2:H14,1))</f>
        <v>13</v>
      </c>
      <c r="J14" s="61" t="str">
        <f t="shared" si="1"/>
        <v>ALICE KING COMMUNITY SCHOOL</v>
      </c>
      <c r="K14" s="61" t="str">
        <f t="shared" si="2"/>
        <v>Local Charter</v>
      </c>
    </row>
    <row r="15" spans="1:11" x14ac:dyDescent="0.25">
      <c r="A15" s="59" t="s">
        <v>246</v>
      </c>
      <c r="B15" s="59" t="s">
        <v>247</v>
      </c>
      <c r="C15" s="59" t="s">
        <v>107</v>
      </c>
      <c r="D15" s="59" t="s">
        <v>111</v>
      </c>
      <c r="E15" s="59" t="s">
        <v>593</v>
      </c>
      <c r="F15" s="60">
        <f t="shared" si="0"/>
        <v>54</v>
      </c>
      <c r="G15" s="60" t="str">
        <f>IFERROR(INDEX($A$2:$A$226,MATCH(ROWS($F$2:F15),$F$2:$F$226,0)),"")</f>
        <v>ALMA D' ARTE STATE CHARTER</v>
      </c>
      <c r="H15" s="61">
        <f>IF(ISERROR(SEARCH(Cover!$C$4,$G15)),0,1)</f>
        <v>1</v>
      </c>
      <c r="I15" s="61">
        <f>IF($H15=0,"",COUNTIF($H$2:H15,1))</f>
        <v>14</v>
      </c>
      <c r="J15" s="61" t="str">
        <f t="shared" si="1"/>
        <v>ALMA D' ARTE STATE CHARTER</v>
      </c>
      <c r="K15" s="61" t="str">
        <f t="shared" si="2"/>
        <v>Local Charter</v>
      </c>
    </row>
    <row r="16" spans="1:11" x14ac:dyDescent="0.25">
      <c r="A16" s="59" t="s">
        <v>275</v>
      </c>
      <c r="B16" s="59" t="s">
        <v>276</v>
      </c>
      <c r="C16" s="59" t="s">
        <v>107</v>
      </c>
      <c r="D16" s="59" t="s">
        <v>111</v>
      </c>
      <c r="E16" s="59" t="s">
        <v>594</v>
      </c>
      <c r="F16" s="60">
        <f t="shared" si="0"/>
        <v>67</v>
      </c>
      <c r="G16" s="60" t="str">
        <f>IFERROR(INDEX($A$2:$A$226,MATCH(ROWS($F$2:F16),$F$2:$F$226,0)),"")</f>
        <v>ALTURA PREPARATORY SCHOOL</v>
      </c>
      <c r="H16" s="61">
        <f>IF(ISERROR(SEARCH(Cover!$C$4,$G16)),0,1)</f>
        <v>1</v>
      </c>
      <c r="I16" s="61">
        <f>IF($H16=0,"",COUNTIF($H$2:H16,1))</f>
        <v>15</v>
      </c>
      <c r="J16" s="61" t="str">
        <f t="shared" si="1"/>
        <v>ALTURA PREPARATORY SCHOOL</v>
      </c>
      <c r="K16" s="61" t="str">
        <f t="shared" si="2"/>
        <v>Local Charter</v>
      </c>
    </row>
    <row r="17" spans="1:11" x14ac:dyDescent="0.25">
      <c r="A17" s="59" t="s">
        <v>277</v>
      </c>
      <c r="B17" s="59" t="s">
        <v>278</v>
      </c>
      <c r="C17" s="59" t="s">
        <v>107</v>
      </c>
      <c r="D17" s="59" t="s">
        <v>111</v>
      </c>
      <c r="E17" s="59" t="s">
        <v>595</v>
      </c>
      <c r="F17" s="60">
        <f t="shared" si="0"/>
        <v>68</v>
      </c>
      <c r="G17" s="60" t="str">
        <f>IFERROR(INDEX($A$2:$A$226,MATCH(ROWS($F$2:F17),$F$2:$F$226,0)),"")</f>
        <v>AMY BIEHL ST. CHARTER</v>
      </c>
      <c r="H17" s="61">
        <f>IF(ISERROR(SEARCH(Cover!$C$4,$G17)),0,1)</f>
        <v>1</v>
      </c>
      <c r="I17" s="61">
        <f>IF($H17=0,"",COUNTIF($H$2:H17,1))</f>
        <v>16</v>
      </c>
      <c r="J17" s="61" t="str">
        <f t="shared" si="1"/>
        <v>AMY BIEHL ST. CHARTER</v>
      </c>
      <c r="K17" s="61" t="str">
        <f t="shared" si="2"/>
        <v>Local Charter</v>
      </c>
    </row>
    <row r="18" spans="1:11" x14ac:dyDescent="0.25">
      <c r="A18" s="59" t="s">
        <v>289</v>
      </c>
      <c r="B18" s="59" t="s">
        <v>290</v>
      </c>
      <c r="C18" s="59" t="s">
        <v>107</v>
      </c>
      <c r="D18" s="59" t="s">
        <v>111</v>
      </c>
      <c r="E18" s="59" t="s">
        <v>596</v>
      </c>
      <c r="F18" s="60">
        <f t="shared" si="0"/>
        <v>73</v>
      </c>
      <c r="G18" s="60" t="str">
        <f>IFERROR(INDEX($A$2:$A$226,MATCH(ROWS($F$2:F18),$F$2:$F$226,0)),"")</f>
        <v>ANANSI CHARTER</v>
      </c>
      <c r="H18" s="61">
        <f>IF(ISERROR(SEARCH(Cover!$C$4,$G18)),0,1)</f>
        <v>1</v>
      </c>
      <c r="I18" s="61">
        <f>IF($H18=0,"",COUNTIF($H$2:H18,1))</f>
        <v>17</v>
      </c>
      <c r="J18" s="61" t="str">
        <f t="shared" si="1"/>
        <v>ANANSI CHARTER</v>
      </c>
      <c r="K18" s="61" t="str">
        <f t="shared" si="2"/>
        <v>Local Charter</v>
      </c>
    </row>
    <row r="19" spans="1:11" x14ac:dyDescent="0.25">
      <c r="A19" s="59" t="s">
        <v>300</v>
      </c>
      <c r="B19" s="59" t="s">
        <v>301</v>
      </c>
      <c r="C19" s="59" t="s">
        <v>107</v>
      </c>
      <c r="D19" s="59" t="s">
        <v>111</v>
      </c>
      <c r="E19" s="59" t="s">
        <v>597</v>
      </c>
      <c r="F19" s="60">
        <f t="shared" si="0"/>
        <v>79</v>
      </c>
      <c r="G19" s="60" t="str">
        <f>IFERROR(INDEX($A$2:$A$226,MATCH(ROWS($F$2:F19),$F$2:$F$226,0)),"")</f>
        <v>ANIMAS</v>
      </c>
      <c r="H19" s="61">
        <f>IF(ISERROR(SEARCH(Cover!$C$4,$G19)),0,1)</f>
        <v>1</v>
      </c>
      <c r="I19" s="61">
        <f>IF($H19=0,"",COUNTIF($H$2:H19,1))</f>
        <v>18</v>
      </c>
      <c r="J19" s="61" t="str">
        <f t="shared" si="1"/>
        <v>ANIMAS</v>
      </c>
      <c r="K19" s="61" t="str">
        <f t="shared" si="2"/>
        <v>Local Charter</v>
      </c>
    </row>
    <row r="20" spans="1:11" x14ac:dyDescent="0.25">
      <c r="A20" s="59" t="s">
        <v>311</v>
      </c>
      <c r="B20" s="59" t="s">
        <v>312</v>
      </c>
      <c r="C20" s="59" t="s">
        <v>107</v>
      </c>
      <c r="D20" s="59" t="s">
        <v>111</v>
      </c>
      <c r="E20" s="59" t="s">
        <v>598</v>
      </c>
      <c r="F20" s="60">
        <f t="shared" si="0"/>
        <v>85</v>
      </c>
      <c r="G20" s="60" t="str">
        <f>IFERROR(INDEX($A$2:$A$226,MATCH(ROWS($F$2:F20),$F$2:$F$226,0)),"")</f>
        <v>ARTESIA</v>
      </c>
      <c r="H20" s="61">
        <f>IF(ISERROR(SEARCH(Cover!$C$4,$G20)),0,1)</f>
        <v>1</v>
      </c>
      <c r="I20" s="61">
        <f>IF($H20=0,"",COUNTIF($H$2:H20,1))</f>
        <v>19</v>
      </c>
      <c r="J20" s="61" t="str">
        <f t="shared" si="1"/>
        <v>ARTESIA</v>
      </c>
      <c r="K20" s="61" t="str">
        <f t="shared" si="2"/>
        <v>Local Charter</v>
      </c>
    </row>
    <row r="21" spans="1:11" x14ac:dyDescent="0.25">
      <c r="A21" s="59" t="s">
        <v>334</v>
      </c>
      <c r="B21" s="59" t="s">
        <v>335</v>
      </c>
      <c r="C21" s="59" t="s">
        <v>107</v>
      </c>
      <c r="D21" s="59" t="s">
        <v>111</v>
      </c>
      <c r="E21" s="59" t="s">
        <v>599</v>
      </c>
      <c r="F21" s="60">
        <f t="shared" si="0"/>
        <v>96</v>
      </c>
      <c r="G21" s="60" t="str">
        <f>IFERROR(INDEX($A$2:$A$226,MATCH(ROWS($F$2:F21),$F$2:$F$226,0)),"")</f>
        <v>ASK ACADEMY ST. CHARTER</v>
      </c>
      <c r="H21" s="61">
        <f>IF(ISERROR(SEARCH(Cover!$C$4,$G21)),0,1)</f>
        <v>1</v>
      </c>
      <c r="I21" s="61">
        <f>IF($H21=0,"",COUNTIF($H$2:H21,1))</f>
        <v>20</v>
      </c>
      <c r="J21" s="61" t="str">
        <f t="shared" si="1"/>
        <v>ASK ACADEMY ST. CHARTER</v>
      </c>
      <c r="K21" s="61" t="str">
        <f t="shared" si="2"/>
        <v>Local Charter</v>
      </c>
    </row>
    <row r="22" spans="1:11" x14ac:dyDescent="0.25">
      <c r="A22" s="59" t="s">
        <v>359</v>
      </c>
      <c r="B22" s="59" t="s">
        <v>360</v>
      </c>
      <c r="C22" s="59" t="s">
        <v>107</v>
      </c>
      <c r="D22" s="59" t="s">
        <v>111</v>
      </c>
      <c r="E22" s="59" t="s">
        <v>600</v>
      </c>
      <c r="F22" s="60">
        <f t="shared" si="0"/>
        <v>111</v>
      </c>
      <c r="G22" s="60" t="str">
        <f>IFERROR(INDEX($A$2:$A$226,MATCH(ROWS($F$2:F22),$F$2:$F$226,0)),"")</f>
        <v>AZTEC</v>
      </c>
      <c r="H22" s="61">
        <f>IF(ISERROR(SEARCH(Cover!$C$4,$G22)),0,1)</f>
        <v>1</v>
      </c>
      <c r="I22" s="61">
        <f>IF($H22=0,"",COUNTIF($H$2:H22,1))</f>
        <v>21</v>
      </c>
      <c r="J22" s="61" t="str">
        <f t="shared" si="1"/>
        <v>AZTEC</v>
      </c>
      <c r="K22" s="61" t="str">
        <f t="shared" si="2"/>
        <v>Local Charter</v>
      </c>
    </row>
    <row r="23" spans="1:11" x14ac:dyDescent="0.25">
      <c r="A23" s="59" t="s">
        <v>373</v>
      </c>
      <c r="B23" s="59" t="s">
        <v>374</v>
      </c>
      <c r="C23" s="59" t="s">
        <v>107</v>
      </c>
      <c r="D23" s="59" t="s">
        <v>111</v>
      </c>
      <c r="E23" s="59" t="s">
        <v>601</v>
      </c>
      <c r="F23" s="60">
        <f t="shared" si="0"/>
        <v>117</v>
      </c>
      <c r="G23" s="60" t="str">
        <f>IFERROR(INDEX($A$2:$A$226,MATCH(ROWS($F$2:F23),$F$2:$F$226,0)),"")</f>
        <v>BELEN</v>
      </c>
      <c r="H23" s="61">
        <f>IF(ISERROR(SEARCH(Cover!$C$4,$G23)),0,1)</f>
        <v>1</v>
      </c>
      <c r="I23" s="61">
        <f>IF($H23=0,"",COUNTIF($H$2:H23,1))</f>
        <v>22</v>
      </c>
      <c r="J23" s="61" t="str">
        <f t="shared" si="1"/>
        <v>BELEN</v>
      </c>
      <c r="K23" s="61" t="str">
        <f t="shared" si="2"/>
        <v>Local Charter</v>
      </c>
    </row>
    <row r="24" spans="1:11" x14ac:dyDescent="0.25">
      <c r="A24" s="59" t="s">
        <v>378</v>
      </c>
      <c r="B24" s="59" t="s">
        <v>379</v>
      </c>
      <c r="C24" s="59" t="s">
        <v>107</v>
      </c>
      <c r="D24" s="59" t="s">
        <v>111</v>
      </c>
      <c r="E24" s="59" t="s">
        <v>602</v>
      </c>
      <c r="F24" s="60">
        <f t="shared" si="0"/>
        <v>119</v>
      </c>
      <c r="G24" s="60" t="str">
        <f>IFERROR(INDEX($A$2:$A$226,MATCH(ROWS($F$2:F24),$F$2:$F$226,0)),"")</f>
        <v>BERNALILLO</v>
      </c>
      <c r="H24" s="61">
        <f>IF(ISERROR(SEARCH(Cover!$C$4,$G24)),0,1)</f>
        <v>1</v>
      </c>
      <c r="I24" s="61">
        <f>IF($H24=0,"",COUNTIF($H$2:H24,1))</f>
        <v>23</v>
      </c>
      <c r="J24" s="61" t="str">
        <f t="shared" si="1"/>
        <v>BERNALILLO</v>
      </c>
      <c r="K24" s="61" t="str">
        <f t="shared" si="2"/>
        <v>Local Charter</v>
      </c>
    </row>
    <row r="25" spans="1:11" x14ac:dyDescent="0.25">
      <c r="A25" s="59" t="s">
        <v>380</v>
      </c>
      <c r="B25" s="59" t="s">
        <v>381</v>
      </c>
      <c r="C25" s="59" t="s">
        <v>107</v>
      </c>
      <c r="D25" s="59" t="s">
        <v>111</v>
      </c>
      <c r="E25" s="59" t="s">
        <v>603</v>
      </c>
      <c r="F25" s="60">
        <f t="shared" si="0"/>
        <v>120</v>
      </c>
      <c r="G25" s="60" t="str">
        <f>IFERROR(INDEX($A$2:$A$226,MATCH(ROWS($F$2:F25),$F$2:$F$226,0)),"")</f>
        <v>BLOOMFIELD</v>
      </c>
      <c r="H25" s="61">
        <f>IF(ISERROR(SEARCH(Cover!$C$4,$G25)),0,1)</f>
        <v>1</v>
      </c>
      <c r="I25" s="61">
        <f>IF($H25=0,"",COUNTIF($H$2:H25,1))</f>
        <v>24</v>
      </c>
      <c r="J25" s="61" t="str">
        <f t="shared" si="1"/>
        <v>BLOOMFIELD</v>
      </c>
      <c r="K25" s="61" t="str">
        <f t="shared" si="2"/>
        <v>Local Charter</v>
      </c>
    </row>
    <row r="26" spans="1:11" x14ac:dyDescent="0.25">
      <c r="A26" s="59" t="s">
        <v>386</v>
      </c>
      <c r="B26" s="59" t="s">
        <v>387</v>
      </c>
      <c r="C26" s="59" t="s">
        <v>107</v>
      </c>
      <c r="D26" s="59" t="s">
        <v>111</v>
      </c>
      <c r="E26" s="59" t="s">
        <v>604</v>
      </c>
      <c r="F26" s="60">
        <f t="shared" si="0"/>
        <v>123</v>
      </c>
      <c r="G26" s="60" t="str">
        <f>IFERROR(INDEX($A$2:$A$226,MATCH(ROWS($F$2:F26),$F$2:$F$226,0)),"")</f>
        <v>CAPITAN</v>
      </c>
      <c r="H26" s="61">
        <f>IF(ISERROR(SEARCH(Cover!$C$4,$G26)),0,1)</f>
        <v>1</v>
      </c>
      <c r="I26" s="61">
        <f>IF($H26=0,"",COUNTIF($H$2:H26,1))</f>
        <v>25</v>
      </c>
      <c r="J26" s="61" t="str">
        <f t="shared" si="1"/>
        <v>CAPITAN</v>
      </c>
      <c r="K26" s="61" t="str">
        <f t="shared" si="2"/>
        <v>Local Charter</v>
      </c>
    </row>
    <row r="27" spans="1:11" x14ac:dyDescent="0.25">
      <c r="A27" s="59" t="s">
        <v>342</v>
      </c>
      <c r="B27" s="59" t="s">
        <v>343</v>
      </c>
      <c r="C27" s="59" t="s">
        <v>107</v>
      </c>
      <c r="D27" s="59" t="s">
        <v>111</v>
      </c>
      <c r="E27" s="59" t="s">
        <v>605</v>
      </c>
      <c r="F27" s="60">
        <f t="shared" si="0"/>
        <v>100</v>
      </c>
      <c r="G27" s="60" t="str">
        <f>IFERROR(INDEX($A$2:$A$226,MATCH(ROWS($F$2:F27),$F$2:$F$226,0)),"")</f>
        <v>CARLSBAD</v>
      </c>
      <c r="H27" s="61">
        <f>IF(ISERROR(SEARCH(Cover!$C$4,$G27)),0,1)</f>
        <v>1</v>
      </c>
      <c r="I27" s="61">
        <f>IF($H27=0,"",COUNTIF($H$2:H27,1))</f>
        <v>26</v>
      </c>
      <c r="J27" s="61" t="str">
        <f t="shared" si="1"/>
        <v>CARLSBAD</v>
      </c>
      <c r="K27" s="61" t="str">
        <f t="shared" si="2"/>
        <v>Local Charter</v>
      </c>
    </row>
    <row r="28" spans="1:11" x14ac:dyDescent="0.25">
      <c r="A28" s="59" t="s">
        <v>390</v>
      </c>
      <c r="B28" s="59" t="s">
        <v>391</v>
      </c>
      <c r="C28" s="59" t="s">
        <v>107</v>
      </c>
      <c r="D28" s="59" t="s">
        <v>111</v>
      </c>
      <c r="E28" s="59" t="s">
        <v>390</v>
      </c>
      <c r="F28" s="60">
        <f t="shared" si="0"/>
        <v>126</v>
      </c>
      <c r="G28" s="60" t="str">
        <f>IFERROR(INDEX($A$2:$A$226,MATCH(ROWS($F$2:F28),$F$2:$F$226,0)),"")</f>
        <v>CARRIZOZO</v>
      </c>
      <c r="H28" s="61">
        <f>IF(ISERROR(SEARCH(Cover!$C$4,$G28)),0,1)</f>
        <v>1</v>
      </c>
      <c r="I28" s="61">
        <f>IF($H28=0,"",COUNTIF($H$2:H28,1))</f>
        <v>27</v>
      </c>
      <c r="J28" s="61" t="str">
        <f t="shared" si="1"/>
        <v>CARRIZOZO</v>
      </c>
      <c r="K28" s="61" t="str">
        <f t="shared" si="2"/>
        <v>Local Charter</v>
      </c>
    </row>
    <row r="29" spans="1:11" x14ac:dyDescent="0.25">
      <c r="A29" s="59" t="s">
        <v>418</v>
      </c>
      <c r="B29" s="59" t="s">
        <v>419</v>
      </c>
      <c r="C29" s="59" t="s">
        <v>107</v>
      </c>
      <c r="D29" s="59" t="s">
        <v>111</v>
      </c>
      <c r="E29" s="59" t="s">
        <v>606</v>
      </c>
      <c r="F29" s="60">
        <f t="shared" si="0"/>
        <v>141</v>
      </c>
      <c r="G29" s="60" t="str">
        <f>IFERROR(INDEX($A$2:$A$226,MATCH(ROWS($F$2:F29),$F$2:$F$226,0)),"")</f>
        <v>CENTRAL CONS.</v>
      </c>
      <c r="H29" s="61">
        <f>IF(ISERROR(SEARCH(Cover!$C$4,$G29)),0,1)</f>
        <v>1</v>
      </c>
      <c r="I29" s="61">
        <f>IF($H29=0,"",COUNTIF($H$2:H29,1))</f>
        <v>28</v>
      </c>
      <c r="J29" s="61" t="str">
        <f t="shared" si="1"/>
        <v>CENTRAL CONS.</v>
      </c>
      <c r="K29" s="61" t="str">
        <f t="shared" si="2"/>
        <v>Local Charter</v>
      </c>
    </row>
    <row r="30" spans="1:11" x14ac:dyDescent="0.25">
      <c r="A30" s="59" t="s">
        <v>440</v>
      </c>
      <c r="B30" s="59" t="s">
        <v>441</v>
      </c>
      <c r="C30" s="59" t="s">
        <v>107</v>
      </c>
      <c r="D30" s="59" t="s">
        <v>111</v>
      </c>
      <c r="E30" s="59" t="s">
        <v>607</v>
      </c>
      <c r="F30" s="60">
        <f t="shared" si="0"/>
        <v>153</v>
      </c>
      <c r="G30" s="60" t="str">
        <f>IFERROR(INDEX($A$2:$A$226,MATCH(ROWS($F$2:F30),$F$2:$F$226,0)),"")</f>
        <v>CESAR CHAVEZ COMM. ST. CHARTER</v>
      </c>
      <c r="H30" s="61">
        <f>IF(ISERROR(SEARCH(Cover!$C$4,$G30)),0,1)</f>
        <v>1</v>
      </c>
      <c r="I30" s="61">
        <f>IF($H30=0,"",COUNTIF($H$2:H30,1))</f>
        <v>29</v>
      </c>
      <c r="J30" s="61" t="str">
        <f t="shared" si="1"/>
        <v>CESAR CHAVEZ COMM. ST. CHARTER</v>
      </c>
      <c r="K30" s="61" t="str">
        <f t="shared" si="2"/>
        <v>Local Charter</v>
      </c>
    </row>
    <row r="31" spans="1:11" x14ac:dyDescent="0.25">
      <c r="A31" s="59" t="s">
        <v>446</v>
      </c>
      <c r="B31" s="59" t="s">
        <v>447</v>
      </c>
      <c r="C31" s="59" t="s">
        <v>107</v>
      </c>
      <c r="D31" s="59" t="s">
        <v>111</v>
      </c>
      <c r="E31" s="59" t="s">
        <v>608</v>
      </c>
      <c r="F31" s="60">
        <f t="shared" si="0"/>
        <v>158</v>
      </c>
      <c r="G31" s="60" t="str">
        <f>IFERROR(INDEX($A$2:$A$226,MATCH(ROWS($F$2:F31),$F$2:$F$226,0)),"")</f>
        <v>CHAMA VALLEY</v>
      </c>
      <c r="H31" s="61">
        <f>IF(ISERROR(SEARCH(Cover!$C$4,$G31)),0,1)</f>
        <v>1</v>
      </c>
      <c r="I31" s="61">
        <f>IF($H31=0,"",COUNTIF($H$2:H31,1))</f>
        <v>30</v>
      </c>
      <c r="J31" s="61" t="str">
        <f t="shared" si="1"/>
        <v>CHAMA VALLEY</v>
      </c>
      <c r="K31" s="61" t="str">
        <f t="shared" si="2"/>
        <v>Local Charter</v>
      </c>
    </row>
    <row r="32" spans="1:11" x14ac:dyDescent="0.25">
      <c r="A32" s="59" t="s">
        <v>466</v>
      </c>
      <c r="B32" s="59" t="s">
        <v>467</v>
      </c>
      <c r="C32" s="59" t="s">
        <v>107</v>
      </c>
      <c r="D32" s="59" t="s">
        <v>111</v>
      </c>
      <c r="E32" s="59" t="s">
        <v>609</v>
      </c>
      <c r="F32" s="60">
        <f t="shared" si="0"/>
        <v>170</v>
      </c>
      <c r="G32" s="60" t="str">
        <f>IFERROR(INDEX($A$2:$A$226,MATCH(ROWS($F$2:F32),$F$2:$F$226,0)),"")</f>
        <v>CHRISTINE DUNCAN COMMUNITY</v>
      </c>
      <c r="H32" s="61">
        <f>IF(ISERROR(SEARCH(Cover!$C$4,$G32)),0,1)</f>
        <v>1</v>
      </c>
      <c r="I32" s="61">
        <f>IF($H32=0,"",COUNTIF($H$2:H32,1))</f>
        <v>31</v>
      </c>
      <c r="J32" s="61" t="str">
        <f t="shared" si="1"/>
        <v>CHRISTINE DUNCAN COMMUNITY</v>
      </c>
      <c r="K32" s="61" t="str">
        <f t="shared" si="2"/>
        <v>Local Charter</v>
      </c>
    </row>
    <row r="33" spans="1:11" x14ac:dyDescent="0.25">
      <c r="A33" s="62" t="s">
        <v>503</v>
      </c>
      <c r="B33" s="62" t="s">
        <v>504</v>
      </c>
      <c r="C33" s="63" t="s">
        <v>107</v>
      </c>
      <c r="D33" s="63" t="s">
        <v>111</v>
      </c>
      <c r="E33" s="59" t="s">
        <v>610</v>
      </c>
      <c r="F33" s="60">
        <f t="shared" si="0"/>
        <v>185</v>
      </c>
      <c r="G33" s="60" t="str">
        <f>IFERROR(INDEX($A$2:$A$226,MATCH(ROWS($F$2:F33),$F$2:$F$226,0)),"")</f>
        <v>CIEN AGUAS INTERNATIONAL</v>
      </c>
      <c r="H33" s="61">
        <f>IF(ISERROR(SEARCH(Cover!$C$4,$G33)),0,1)</f>
        <v>1</v>
      </c>
      <c r="I33" s="61">
        <f>IF($H33=0,"",COUNTIF($H$2:H33,1))</f>
        <v>32</v>
      </c>
      <c r="J33" s="61" t="str">
        <f t="shared" si="1"/>
        <v>CIEN AGUAS INTERNATIONAL</v>
      </c>
      <c r="K33" s="61" t="str">
        <f t="shared" si="2"/>
        <v>Local Charter</v>
      </c>
    </row>
    <row r="34" spans="1:11" x14ac:dyDescent="0.25">
      <c r="A34" s="59" t="s">
        <v>496</v>
      </c>
      <c r="B34" s="59" t="s">
        <v>497</v>
      </c>
      <c r="C34" s="59" t="s">
        <v>107</v>
      </c>
      <c r="D34" s="59" t="s">
        <v>111</v>
      </c>
      <c r="E34" s="59" t="s">
        <v>611</v>
      </c>
      <c r="F34" s="60">
        <f t="shared" si="0"/>
        <v>189</v>
      </c>
      <c r="G34" s="60" t="str">
        <f>IFERROR(INDEX($A$2:$A$226,MATCH(ROWS($F$2:F34),$F$2:$F$226,0)),"")</f>
        <v>CIMARRON</v>
      </c>
      <c r="H34" s="61">
        <f>IF(ISERROR(SEARCH(Cover!$C$4,$G34)),0,1)</f>
        <v>1</v>
      </c>
      <c r="I34" s="61">
        <f>IF($H34=0,"",COUNTIF($H$2:H34,1))</f>
        <v>33</v>
      </c>
      <c r="J34" s="61" t="str">
        <f t="shared" si="1"/>
        <v>CIMARRON</v>
      </c>
      <c r="K34" s="61" t="str">
        <f t="shared" si="2"/>
        <v>Local Charter</v>
      </c>
    </row>
    <row r="35" spans="1:11" x14ac:dyDescent="0.25">
      <c r="A35" s="59"/>
      <c r="B35" s="59"/>
      <c r="C35" s="59"/>
      <c r="D35" s="59"/>
      <c r="E35" s="59" t="s">
        <v>612</v>
      </c>
      <c r="F35" s="60">
        <f t="shared" si="0"/>
        <v>0</v>
      </c>
      <c r="G35" s="60" t="str">
        <f>IFERROR(INDEX($A$2:$A$226,MATCH(ROWS($F$2:F35),$F$2:$F$226,0)),"")</f>
        <v>CLAYTON</v>
      </c>
      <c r="H35" s="61">
        <f>IF(ISERROR(SEARCH(Cover!$C$4,$G35)),0,1)</f>
        <v>1</v>
      </c>
      <c r="I35" s="61">
        <f>IF($H35=0,"",COUNTIF($H$2:H35,1))</f>
        <v>34</v>
      </c>
      <c r="J35" s="61" t="str">
        <f t="shared" si="1"/>
        <v>CLAYTON</v>
      </c>
      <c r="K35" s="61" t="str">
        <f t="shared" si="2"/>
        <v/>
      </c>
    </row>
    <row r="36" spans="1:11" x14ac:dyDescent="0.25">
      <c r="A36" s="59" t="s">
        <v>152</v>
      </c>
      <c r="B36" s="59" t="s">
        <v>153</v>
      </c>
      <c r="C36" s="59" t="s">
        <v>120</v>
      </c>
      <c r="D36" s="59" t="s">
        <v>154</v>
      </c>
      <c r="E36" s="59" t="s">
        <v>613</v>
      </c>
      <c r="F36" s="60">
        <f t="shared" si="0"/>
        <v>18</v>
      </c>
      <c r="G36" s="60" t="str">
        <f>IFERROR(INDEX($A$2:$A$226,MATCH(ROWS($F$2:F36),$F$2:$F$226,0)),"")</f>
        <v>CLOUDCROFT</v>
      </c>
      <c r="H36" s="61">
        <f>IF(ISERROR(SEARCH(Cover!$C$4,$G36)),0,1)</f>
        <v>1</v>
      </c>
      <c r="I36" s="61">
        <f>IF($H36=0,"",COUNTIF($H$2:H36,1))</f>
        <v>35</v>
      </c>
      <c r="J36" s="61" t="str">
        <f t="shared" si="1"/>
        <v>CLOUDCROFT</v>
      </c>
      <c r="K36" s="61" t="str">
        <f t="shared" si="2"/>
        <v>District</v>
      </c>
    </row>
    <row r="37" spans="1:11" x14ac:dyDescent="0.25">
      <c r="A37" s="59" t="s">
        <v>155</v>
      </c>
      <c r="B37" s="59" t="s">
        <v>156</v>
      </c>
      <c r="C37" s="59" t="s">
        <v>120</v>
      </c>
      <c r="D37" s="59" t="s">
        <v>157</v>
      </c>
      <c r="E37" s="59" t="s">
        <v>614</v>
      </c>
      <c r="F37" s="60">
        <f t="shared" si="0"/>
        <v>19</v>
      </c>
      <c r="G37" s="60" t="str">
        <f>IFERROR(INDEX($A$2:$A$226,MATCH(ROWS($F$2:F37),$F$2:$F$226,0)),"")</f>
        <v>CLOVIS</v>
      </c>
      <c r="H37" s="61">
        <f>IF(ISERROR(SEARCH(Cover!$C$4,$G37)),0,1)</f>
        <v>1</v>
      </c>
      <c r="I37" s="61">
        <f>IF($H37=0,"",COUNTIF($H$2:H37,1))</f>
        <v>36</v>
      </c>
      <c r="J37" s="61" t="str">
        <f t="shared" si="1"/>
        <v>CLOVIS</v>
      </c>
      <c r="K37" s="61" t="str">
        <f t="shared" si="2"/>
        <v>District</v>
      </c>
    </row>
    <row r="38" spans="1:11" x14ac:dyDescent="0.25">
      <c r="A38" s="59" t="s">
        <v>162</v>
      </c>
      <c r="B38" s="59" t="s">
        <v>163</v>
      </c>
      <c r="C38" s="59" t="s">
        <v>120</v>
      </c>
      <c r="D38" s="59" t="s">
        <v>164</v>
      </c>
      <c r="E38" s="59" t="s">
        <v>615</v>
      </c>
      <c r="F38" s="60">
        <f t="shared" si="0"/>
        <v>21</v>
      </c>
      <c r="G38" s="60" t="str">
        <f>IFERROR(INDEX($A$2:$A$226,MATCH(ROWS($F$2:F38),$F$2:$F$226,0)),"")</f>
        <v>COBRE CONS.</v>
      </c>
      <c r="H38" s="61">
        <f>IF(ISERROR(SEARCH(Cover!$C$4,$G38)),0,1)</f>
        <v>1</v>
      </c>
      <c r="I38" s="61">
        <f>IF($H38=0,"",COUNTIF($H$2:H38,1))</f>
        <v>37</v>
      </c>
      <c r="J38" s="61" t="str">
        <f t="shared" si="1"/>
        <v>COBRE CONS.</v>
      </c>
      <c r="K38" s="61" t="str">
        <f t="shared" si="2"/>
        <v>District</v>
      </c>
    </row>
    <row r="39" spans="1:11" x14ac:dyDescent="0.25">
      <c r="A39" s="59" t="s">
        <v>368</v>
      </c>
      <c r="B39" s="59" t="s">
        <v>369</v>
      </c>
      <c r="C39" s="59" t="s">
        <v>107</v>
      </c>
      <c r="D39" s="59" t="s">
        <v>164</v>
      </c>
      <c r="E39" s="59" t="s">
        <v>616</v>
      </c>
      <c r="F39" s="60">
        <f t="shared" si="0"/>
        <v>115</v>
      </c>
      <c r="G39" s="60" t="str">
        <f>IFERROR(INDEX($A$2:$A$226,MATCH(ROWS($F$2:F39),$F$2:$F$226,0)),"")</f>
        <v>CORAL COMMUNITY</v>
      </c>
      <c r="H39" s="61">
        <f>IF(ISERROR(SEARCH(Cover!$C$4,$G39)),0,1)</f>
        <v>1</v>
      </c>
      <c r="I39" s="61">
        <f>IF($H39=0,"",COUNTIF($H$2:H39,1))</f>
        <v>38</v>
      </c>
      <c r="J39" s="61" t="str">
        <f t="shared" si="1"/>
        <v>CORAL COMMUNITY</v>
      </c>
      <c r="K39" s="61" t="str">
        <f t="shared" si="2"/>
        <v>Local Charter</v>
      </c>
    </row>
    <row r="40" spans="1:11" x14ac:dyDescent="0.25">
      <c r="A40" s="59"/>
      <c r="B40" s="59"/>
      <c r="C40" s="59"/>
      <c r="D40" s="59"/>
      <c r="E40" s="59" t="s">
        <v>612</v>
      </c>
      <c r="F40" s="60">
        <f t="shared" si="0"/>
        <v>0</v>
      </c>
      <c r="G40" s="60" t="str">
        <f>IFERROR(INDEX($A$2:$A$226,MATCH(ROWS($F$2:F40),$F$2:$F$226,0)),"")</f>
        <v>CORONA</v>
      </c>
      <c r="H40" s="61">
        <f>IF(ISERROR(SEARCH(Cover!$C$4,$G40)),0,1)</f>
        <v>1</v>
      </c>
      <c r="I40" s="61">
        <f>IF($H40=0,"",COUNTIF($H$2:H40,1))</f>
        <v>39</v>
      </c>
      <c r="J40" s="61" t="str">
        <f t="shared" si="1"/>
        <v>CORONA</v>
      </c>
      <c r="K40" s="61" t="str">
        <f t="shared" si="2"/>
        <v/>
      </c>
    </row>
    <row r="41" spans="1:11" x14ac:dyDescent="0.25">
      <c r="A41" s="59" t="s">
        <v>165</v>
      </c>
      <c r="B41" s="59" t="s">
        <v>166</v>
      </c>
      <c r="C41" s="59" t="s">
        <v>120</v>
      </c>
      <c r="D41" s="59" t="s">
        <v>167</v>
      </c>
      <c r="E41" s="59" t="s">
        <v>617</v>
      </c>
      <c r="F41" s="60">
        <f t="shared" si="0"/>
        <v>22</v>
      </c>
      <c r="G41" s="60" t="str">
        <f>IFERROR(INDEX($A$2:$A$226,MATCH(ROWS($F$2:F41),$F$2:$F$226,0)),"")</f>
        <v>CORRALES INTERNATIONAL</v>
      </c>
      <c r="H41" s="61">
        <f>IF(ISERROR(SEARCH(Cover!$C$4,$G41)),0,1)</f>
        <v>1</v>
      </c>
      <c r="I41" s="61">
        <f>IF($H41=0,"",COUNTIF($H$2:H41,1))</f>
        <v>40</v>
      </c>
      <c r="J41" s="61" t="str">
        <f t="shared" si="1"/>
        <v>CORRALES INTERNATIONAL</v>
      </c>
      <c r="K41" s="61" t="str">
        <f t="shared" si="2"/>
        <v>District</v>
      </c>
    </row>
    <row r="42" spans="1:11" x14ac:dyDescent="0.25">
      <c r="A42" s="59" t="s">
        <v>168</v>
      </c>
      <c r="B42" s="59" t="s">
        <v>169</v>
      </c>
      <c r="C42" s="59" t="s">
        <v>120</v>
      </c>
      <c r="D42" s="59" t="s">
        <v>161</v>
      </c>
      <c r="E42" s="59" t="s">
        <v>115</v>
      </c>
      <c r="F42" s="60">
        <f t="shared" si="0"/>
        <v>23</v>
      </c>
      <c r="G42" s="60" t="str">
        <f>IFERROR(INDEX($A$2:$A$226,MATCH(ROWS($F$2:F42),$F$2:$F$226,0)),"")</f>
        <v>COTTONWOOD CLASSICAL ST. CHARTER</v>
      </c>
      <c r="H42" s="61">
        <f>IF(ISERROR(SEARCH(Cover!$C$4,$G42)),0,1)</f>
        <v>1</v>
      </c>
      <c r="I42" s="61">
        <f>IF($H42=0,"",COUNTIF($H$2:H42,1))</f>
        <v>41</v>
      </c>
      <c r="J42" s="61" t="str">
        <f t="shared" si="1"/>
        <v>COTTONWOOD CLASSICAL ST. CHARTER</v>
      </c>
      <c r="K42" s="61" t="str">
        <f t="shared" si="2"/>
        <v>District</v>
      </c>
    </row>
    <row r="43" spans="1:11" x14ac:dyDescent="0.25">
      <c r="A43" s="59" t="s">
        <v>170</v>
      </c>
      <c r="B43" s="59" t="s">
        <v>171</v>
      </c>
      <c r="C43" s="59" t="s">
        <v>120</v>
      </c>
      <c r="D43" s="59" t="s">
        <v>164</v>
      </c>
      <c r="E43" s="59" t="s">
        <v>618</v>
      </c>
      <c r="F43" s="60">
        <f t="shared" si="0"/>
        <v>24</v>
      </c>
      <c r="G43" s="60" t="str">
        <f>IFERROR(INDEX($A$2:$A$226,MATCH(ROWS($F$2:F43),$F$2:$F$226,0)),"")</f>
        <v>COTTONWOOD VALLEY CHARTER</v>
      </c>
      <c r="H43" s="61">
        <f>IF(ISERROR(SEARCH(Cover!$C$4,$G43)),0,1)</f>
        <v>1</v>
      </c>
      <c r="I43" s="61">
        <f>IF($H43=0,"",COUNTIF($H$2:H43,1))</f>
        <v>42</v>
      </c>
      <c r="J43" s="61" t="str">
        <f t="shared" si="1"/>
        <v>COTTONWOOD VALLEY CHARTER</v>
      </c>
      <c r="K43" s="61" t="str">
        <f t="shared" si="2"/>
        <v>District</v>
      </c>
    </row>
    <row r="44" spans="1:11" x14ac:dyDescent="0.25">
      <c r="A44" s="59" t="s">
        <v>172</v>
      </c>
      <c r="B44" s="59" t="s">
        <v>173</v>
      </c>
      <c r="C44" s="59" t="s">
        <v>120</v>
      </c>
      <c r="D44" s="59" t="s">
        <v>174</v>
      </c>
      <c r="E44" s="59" t="s">
        <v>619</v>
      </c>
      <c r="F44" s="60">
        <f t="shared" si="0"/>
        <v>25</v>
      </c>
      <c r="G44" s="60" t="str">
        <f>IFERROR(INDEX($A$2:$A$226,MATCH(ROWS($F$2:F44),$F$2:$F$226,0)),"")</f>
        <v>CUBA</v>
      </c>
      <c r="H44" s="61">
        <f>IF(ISERROR(SEARCH(Cover!$C$4,$G44)),0,1)</f>
        <v>1</v>
      </c>
      <c r="I44" s="61">
        <f>IF($H44=0,"",COUNTIF($H$2:H44,1))</f>
        <v>43</v>
      </c>
      <c r="J44" s="61" t="str">
        <f t="shared" si="1"/>
        <v>CUBA</v>
      </c>
      <c r="K44" s="61" t="str">
        <f t="shared" si="2"/>
        <v>District</v>
      </c>
    </row>
    <row r="45" spans="1:11" x14ac:dyDescent="0.25">
      <c r="A45" s="59" t="s">
        <v>175</v>
      </c>
      <c r="B45" s="59" t="s">
        <v>176</v>
      </c>
      <c r="C45" s="59" t="s">
        <v>120</v>
      </c>
      <c r="D45" s="59" t="s">
        <v>177</v>
      </c>
      <c r="E45" s="59" t="s">
        <v>620</v>
      </c>
      <c r="F45" s="60">
        <f t="shared" si="0"/>
        <v>26</v>
      </c>
      <c r="G45" s="60" t="str">
        <f>IFERROR(INDEX($A$2:$A$226,MATCH(ROWS($F$2:F45),$F$2:$F$226,0)),"")</f>
        <v>DEAP</v>
      </c>
      <c r="H45" s="61">
        <f>IF(ISERROR(SEARCH(Cover!$C$4,$G45)),0,1)</f>
        <v>1</v>
      </c>
      <c r="I45" s="61">
        <f>IF($H45=0,"",COUNTIF($H$2:H45,1))</f>
        <v>44</v>
      </c>
      <c r="J45" s="61" t="str">
        <f t="shared" si="1"/>
        <v>DEAP</v>
      </c>
      <c r="K45" s="61" t="str">
        <f t="shared" si="2"/>
        <v>District</v>
      </c>
    </row>
    <row r="46" spans="1:11" x14ac:dyDescent="0.25">
      <c r="A46" s="59" t="s">
        <v>305</v>
      </c>
      <c r="B46" s="59" t="s">
        <v>306</v>
      </c>
      <c r="C46" s="59" t="s">
        <v>107</v>
      </c>
      <c r="D46" s="59" t="s">
        <v>177</v>
      </c>
      <c r="E46" s="59" t="s">
        <v>621</v>
      </c>
      <c r="F46" s="60">
        <f t="shared" si="0"/>
        <v>82</v>
      </c>
      <c r="G46" s="60" t="str">
        <f>IFERROR(INDEX($A$2:$A$226,MATCH(ROWS($F$2:F46),$F$2:$F$226,0)),"")</f>
        <v>DEMING</v>
      </c>
      <c r="H46" s="61">
        <f>IF(ISERROR(SEARCH(Cover!$C$4,$G46)),0,1)</f>
        <v>1</v>
      </c>
      <c r="I46" s="61">
        <f>IF($H46=0,"",COUNTIF($H$2:H46,1))</f>
        <v>45</v>
      </c>
      <c r="J46" s="61" t="str">
        <f t="shared" si="1"/>
        <v>DEMING</v>
      </c>
      <c r="K46" s="61" t="str">
        <f t="shared" si="2"/>
        <v>Local Charter</v>
      </c>
    </row>
    <row r="47" spans="1:11" x14ac:dyDescent="0.25">
      <c r="A47" s="59" t="s">
        <v>395</v>
      </c>
      <c r="B47" s="59" t="s">
        <v>780</v>
      </c>
      <c r="C47" s="59" t="s">
        <v>114</v>
      </c>
      <c r="D47" s="59" t="s">
        <v>177</v>
      </c>
      <c r="E47" s="59" t="s">
        <v>622</v>
      </c>
      <c r="F47" s="60">
        <f t="shared" si="0"/>
        <v>128</v>
      </c>
      <c r="G47" s="60" t="str">
        <f>IFERROR(INDEX($A$2:$A$226,MATCH(ROWS($F$2:F47),$F$2:$F$226,0)),"")</f>
        <v>DEMING CESAR CHAVEZ</v>
      </c>
      <c r="H47" s="61">
        <f>IF(ISERROR(SEARCH(Cover!$C$4,$G47)),0,1)</f>
        <v>1</v>
      </c>
      <c r="I47" s="61">
        <f>IF($H47=0,"",COUNTIF($H$2:H47,1))</f>
        <v>46</v>
      </c>
      <c r="J47" s="61" t="str">
        <f t="shared" si="1"/>
        <v>DEMING CESAR CHAVEZ</v>
      </c>
      <c r="K47" s="61" t="str">
        <f t="shared" si="2"/>
        <v>State Charter</v>
      </c>
    </row>
    <row r="48" spans="1:11" x14ac:dyDescent="0.25">
      <c r="A48" s="59"/>
      <c r="B48" s="59"/>
      <c r="C48" s="59"/>
      <c r="D48" s="59"/>
      <c r="E48" s="59" t="s">
        <v>612</v>
      </c>
      <c r="F48" s="60">
        <f t="shared" si="0"/>
        <v>0</v>
      </c>
      <c r="G48" s="60" t="str">
        <f>IFERROR(INDEX($A$2:$A$226,MATCH(ROWS($F$2:F48),$F$2:$F$226,0)),"")</f>
        <v>DES MOINES</v>
      </c>
      <c r="H48" s="61">
        <f>IF(ISERROR(SEARCH(Cover!$C$4,$G48)),0,1)</f>
        <v>1</v>
      </c>
      <c r="I48" s="61">
        <f>IF($H48=0,"",COUNTIF($H$2:H48,1))</f>
        <v>47</v>
      </c>
      <c r="J48" s="61" t="str">
        <f t="shared" si="1"/>
        <v>DES MOINES</v>
      </c>
      <c r="K48" s="61" t="str">
        <f t="shared" si="2"/>
        <v/>
      </c>
    </row>
    <row r="49" spans="1:11" x14ac:dyDescent="0.25">
      <c r="A49" s="59" t="s">
        <v>178</v>
      </c>
      <c r="B49" s="59" t="s">
        <v>179</v>
      </c>
      <c r="C49" s="59" t="s">
        <v>120</v>
      </c>
      <c r="D49" s="59" t="s">
        <v>180</v>
      </c>
      <c r="E49" s="59" t="s">
        <v>623</v>
      </c>
      <c r="F49" s="60">
        <f t="shared" si="0"/>
        <v>27</v>
      </c>
      <c r="G49" s="60" t="str">
        <f>IFERROR(INDEX($A$2:$A$226,MATCH(ROWS($F$2:F49),$F$2:$F$226,0)),"")</f>
        <v>DEXTER</v>
      </c>
      <c r="H49" s="61">
        <f>IF(ISERROR(SEARCH(Cover!$C$4,$G49)),0,1)</f>
        <v>1</v>
      </c>
      <c r="I49" s="61">
        <f>IF($H49=0,"",COUNTIF($H$2:H49,1))</f>
        <v>48</v>
      </c>
      <c r="J49" s="61" t="str">
        <f t="shared" si="1"/>
        <v>DEXTER</v>
      </c>
      <c r="K49" s="61" t="str">
        <f t="shared" si="2"/>
        <v>District</v>
      </c>
    </row>
    <row r="50" spans="1:11" x14ac:dyDescent="0.25">
      <c r="A50" s="59" t="s">
        <v>181</v>
      </c>
      <c r="B50" s="59" t="s">
        <v>182</v>
      </c>
      <c r="C50" s="59" t="s">
        <v>120</v>
      </c>
      <c r="D50" s="59" t="s">
        <v>164</v>
      </c>
      <c r="E50" s="59" t="s">
        <v>624</v>
      </c>
      <c r="F50" s="60">
        <f t="shared" si="0"/>
        <v>28</v>
      </c>
      <c r="G50" s="60" t="str">
        <f>IFERROR(INDEX($A$2:$A$226,MATCH(ROWS($F$2:F50),$F$2:$F$226,0)),"")</f>
        <v>DIGITAL ARTS &amp; TECH ACADEMY</v>
      </c>
      <c r="H50" s="61">
        <f>IF(ISERROR(SEARCH(Cover!$C$4,$G50)),0,1)</f>
        <v>1</v>
      </c>
      <c r="I50" s="61">
        <f>IF($H50=0,"",COUNTIF($H$2:H50,1))</f>
        <v>49</v>
      </c>
      <c r="J50" s="61" t="str">
        <f t="shared" si="1"/>
        <v>DIGITAL ARTS &amp; TECH ACADEMY</v>
      </c>
      <c r="K50" s="61" t="str">
        <f t="shared" si="2"/>
        <v>District</v>
      </c>
    </row>
    <row r="51" spans="1:11" x14ac:dyDescent="0.25">
      <c r="A51" s="59" t="s">
        <v>240</v>
      </c>
      <c r="B51" s="59" t="s">
        <v>241</v>
      </c>
      <c r="C51" s="59" t="s">
        <v>107</v>
      </c>
      <c r="D51" s="59" t="s">
        <v>164</v>
      </c>
      <c r="E51" s="59" t="s">
        <v>625</v>
      </c>
      <c r="F51" s="60">
        <f t="shared" si="0"/>
        <v>51</v>
      </c>
      <c r="G51" s="60" t="str">
        <f>IFERROR(INDEX($A$2:$A$226,MATCH(ROWS($F$2:F51),$F$2:$F$226,0)),"")</f>
        <v>DORA</v>
      </c>
      <c r="H51" s="61">
        <f>IF(ISERROR(SEARCH(Cover!$C$4,$G51)),0,1)</f>
        <v>1</v>
      </c>
      <c r="I51" s="61">
        <f>IF($H51=0,"",COUNTIF($H$2:H51,1))</f>
        <v>50</v>
      </c>
      <c r="J51" s="61" t="str">
        <f t="shared" si="1"/>
        <v>DORA</v>
      </c>
      <c r="K51" s="61" t="str">
        <f t="shared" si="2"/>
        <v>Local Charter</v>
      </c>
    </row>
    <row r="52" spans="1:11" x14ac:dyDescent="0.25">
      <c r="A52" s="59"/>
      <c r="B52" s="59"/>
      <c r="C52" s="59"/>
      <c r="D52" s="59"/>
      <c r="E52" s="59" t="s">
        <v>612</v>
      </c>
      <c r="F52" s="60">
        <f t="shared" si="0"/>
        <v>0</v>
      </c>
      <c r="G52" s="60" t="str">
        <f>IFERROR(INDEX($A$2:$A$226,MATCH(ROWS($F$2:F52),$F$2:$F$226,0)),"")</f>
        <v>DREAM DINE'</v>
      </c>
      <c r="H52" s="61">
        <f>IF(ISERROR(SEARCH(Cover!$C$4,$G52)),0,1)</f>
        <v>1</v>
      </c>
      <c r="I52" s="61">
        <f>IF($H52=0,"",COUNTIF($H$2:H52,1))</f>
        <v>51</v>
      </c>
      <c r="J52" s="61" t="str">
        <f t="shared" si="1"/>
        <v>DREAM DINE'</v>
      </c>
      <c r="K52" s="61" t="str">
        <f t="shared" si="2"/>
        <v/>
      </c>
    </row>
    <row r="53" spans="1:11" x14ac:dyDescent="0.25">
      <c r="A53" s="59" t="s">
        <v>185</v>
      </c>
      <c r="B53" s="59" t="s">
        <v>186</v>
      </c>
      <c r="C53" s="59" t="s">
        <v>120</v>
      </c>
      <c r="D53" s="59" t="s">
        <v>187</v>
      </c>
      <c r="E53" s="59" t="s">
        <v>626</v>
      </c>
      <c r="F53" s="60">
        <f t="shared" si="0"/>
        <v>30</v>
      </c>
      <c r="G53" s="60" t="str">
        <f>IFERROR(INDEX($A$2:$A$226,MATCH(ROWS($F$2:F53),$F$2:$F$226,0)),"")</f>
        <v>DULCE</v>
      </c>
      <c r="H53" s="61">
        <f>IF(ISERROR(SEARCH(Cover!$C$4,$G53)),0,1)</f>
        <v>1</v>
      </c>
      <c r="I53" s="61">
        <f>IF($H53=0,"",COUNTIF($H$2:H53,1))</f>
        <v>52</v>
      </c>
      <c r="J53" s="61" t="str">
        <f t="shared" si="1"/>
        <v>DULCE</v>
      </c>
      <c r="K53" s="61" t="str">
        <f t="shared" si="2"/>
        <v>District</v>
      </c>
    </row>
    <row r="54" spans="1:11" x14ac:dyDescent="0.25">
      <c r="A54" s="59" t="s">
        <v>192</v>
      </c>
      <c r="B54" s="59" t="s">
        <v>193</v>
      </c>
      <c r="C54" s="59" t="s">
        <v>120</v>
      </c>
      <c r="D54" s="59" t="s">
        <v>194</v>
      </c>
      <c r="E54" s="59" t="s">
        <v>627</v>
      </c>
      <c r="F54" s="60">
        <f t="shared" si="0"/>
        <v>33</v>
      </c>
      <c r="G54" s="60" t="str">
        <f>IFERROR(INDEX($A$2:$A$226,MATCH(ROWS($F$2:F54),$F$2:$F$226,0)),"")</f>
        <v>EAST MOUNTAIN</v>
      </c>
      <c r="H54" s="61">
        <f>IF(ISERROR(SEARCH(Cover!$C$4,$G54)),0,1)</f>
        <v>1</v>
      </c>
      <c r="I54" s="61">
        <f>IF($H54=0,"",COUNTIF($H$2:H54,1))</f>
        <v>53</v>
      </c>
      <c r="J54" s="61" t="str">
        <f t="shared" si="1"/>
        <v>EAST MOUNTAIN</v>
      </c>
      <c r="K54" s="61" t="str">
        <f t="shared" si="2"/>
        <v>District</v>
      </c>
    </row>
    <row r="55" spans="1:11" x14ac:dyDescent="0.25">
      <c r="A55" s="59" t="s">
        <v>364</v>
      </c>
      <c r="B55" s="59" t="s">
        <v>365</v>
      </c>
      <c r="C55" s="59" t="s">
        <v>107</v>
      </c>
      <c r="D55" s="59" t="s">
        <v>194</v>
      </c>
      <c r="E55" s="59" t="s">
        <v>628</v>
      </c>
      <c r="F55" s="60">
        <f t="shared" si="0"/>
        <v>113</v>
      </c>
      <c r="G55" s="60" t="str">
        <f>IFERROR(INDEX($A$2:$A$226,MATCH(ROWS($F$2:F55),$F$2:$F$226,0)),"")</f>
        <v>EL CAMINO REAL</v>
      </c>
      <c r="H55" s="61">
        <f>IF(ISERROR(SEARCH(Cover!$C$4,$G55)),0,1)</f>
        <v>1</v>
      </c>
      <c r="I55" s="61">
        <f>IF($H55=0,"",COUNTIF($H$2:H55,1))</f>
        <v>54</v>
      </c>
      <c r="J55" s="61" t="str">
        <f t="shared" si="1"/>
        <v>EL CAMINO REAL</v>
      </c>
      <c r="K55" s="61" t="str">
        <f t="shared" si="2"/>
        <v>Local Charter</v>
      </c>
    </row>
    <row r="56" spans="1:11" x14ac:dyDescent="0.25">
      <c r="A56" s="59"/>
      <c r="B56" s="59"/>
      <c r="C56" s="59"/>
      <c r="D56" s="59"/>
      <c r="E56" s="59" t="s">
        <v>612</v>
      </c>
      <c r="F56" s="60">
        <f t="shared" si="0"/>
        <v>0</v>
      </c>
      <c r="G56" s="60" t="str">
        <f>IFERROR(INDEX($A$2:$A$226,MATCH(ROWS($F$2:F56),$F$2:$F$226,0)),"")</f>
        <v>ELIDA</v>
      </c>
      <c r="H56" s="61">
        <f>IF(ISERROR(SEARCH(Cover!$C$4,$G56)),0,1)</f>
        <v>1</v>
      </c>
      <c r="I56" s="61">
        <f>IF($H56=0,"",COUNTIF($H$2:H56,1))</f>
        <v>55</v>
      </c>
      <c r="J56" s="61" t="str">
        <f t="shared" si="1"/>
        <v>ELIDA</v>
      </c>
      <c r="K56" s="61" t="str">
        <f t="shared" si="2"/>
        <v/>
      </c>
    </row>
    <row r="57" spans="1:11" x14ac:dyDescent="0.25">
      <c r="A57" s="59" t="s">
        <v>195</v>
      </c>
      <c r="B57" s="59" t="s">
        <v>196</v>
      </c>
      <c r="C57" s="59" t="s">
        <v>120</v>
      </c>
      <c r="D57" s="59" t="s">
        <v>197</v>
      </c>
      <c r="E57" s="59" t="s">
        <v>629</v>
      </c>
      <c r="F57" s="60">
        <f t="shared" si="0"/>
        <v>34</v>
      </c>
      <c r="G57" s="60" t="str">
        <f>IFERROR(INDEX($A$2:$A$226,MATCH(ROWS($F$2:F57),$F$2:$F$226,0)),"")</f>
        <v>ESPAÑOLA</v>
      </c>
      <c r="H57" s="61">
        <f>IF(ISERROR(SEARCH(Cover!$C$4,$G57)),0,1)</f>
        <v>1</v>
      </c>
      <c r="I57" s="61">
        <f>IF($H57=0,"",COUNTIF($H$2:H57,1))</f>
        <v>56</v>
      </c>
      <c r="J57" s="61" t="str">
        <f t="shared" si="1"/>
        <v>ESPAÑOLA</v>
      </c>
      <c r="K57" s="61" t="str">
        <f t="shared" si="2"/>
        <v>District</v>
      </c>
    </row>
    <row r="58" spans="1:11" x14ac:dyDescent="0.25">
      <c r="A58" s="59" t="s">
        <v>198</v>
      </c>
      <c r="B58" s="59" t="s">
        <v>199</v>
      </c>
      <c r="C58" s="59" t="s">
        <v>120</v>
      </c>
      <c r="D58" s="59" t="s">
        <v>121</v>
      </c>
      <c r="E58" s="59" t="s">
        <v>630</v>
      </c>
      <c r="F58" s="60">
        <f t="shared" si="0"/>
        <v>35</v>
      </c>
      <c r="G58" s="60" t="str">
        <f>IFERROR(INDEX($A$2:$A$226,MATCH(ROWS($F$2:F58),$F$2:$F$226,0)),"")</f>
        <v>ESTANCIA</v>
      </c>
      <c r="H58" s="61">
        <f>IF(ISERROR(SEARCH(Cover!$C$4,$G58)),0,1)</f>
        <v>1</v>
      </c>
      <c r="I58" s="61">
        <f>IF($H58=0,"",COUNTIF($H$2:H58,1))</f>
        <v>57</v>
      </c>
      <c r="J58" s="61" t="str">
        <f t="shared" si="1"/>
        <v>ESTANCIA</v>
      </c>
      <c r="K58" s="61" t="str">
        <f t="shared" si="2"/>
        <v>District</v>
      </c>
    </row>
    <row r="59" spans="1:11" x14ac:dyDescent="0.25">
      <c r="A59" s="59" t="s">
        <v>200</v>
      </c>
      <c r="B59" s="59" t="s">
        <v>201</v>
      </c>
      <c r="C59" s="59" t="s">
        <v>120</v>
      </c>
      <c r="D59" s="59" t="s">
        <v>202</v>
      </c>
      <c r="E59" s="59" t="s">
        <v>631</v>
      </c>
      <c r="F59" s="60">
        <f t="shared" si="0"/>
        <v>36</v>
      </c>
      <c r="G59" s="60" t="str">
        <f>IFERROR(INDEX($A$2:$A$226,MATCH(ROWS($F$2:F59),$F$2:$F$226,0)),"")</f>
        <v>ESTANCIA VALLEY</v>
      </c>
      <c r="H59" s="61">
        <f>IF(ISERROR(SEARCH(Cover!$C$4,$G59)),0,1)</f>
        <v>1</v>
      </c>
      <c r="I59" s="61">
        <f>IF($H59=0,"",COUNTIF($H$2:H59,1))</f>
        <v>58</v>
      </c>
      <c r="J59" s="61" t="str">
        <f t="shared" si="1"/>
        <v>ESTANCIA VALLEY</v>
      </c>
      <c r="K59" s="61" t="str">
        <f t="shared" si="2"/>
        <v>District</v>
      </c>
    </row>
    <row r="60" spans="1:11" x14ac:dyDescent="0.25">
      <c r="A60" s="59" t="s">
        <v>203</v>
      </c>
      <c r="B60" s="59" t="s">
        <v>204</v>
      </c>
      <c r="C60" s="59" t="s">
        <v>120</v>
      </c>
      <c r="D60" s="59" t="s">
        <v>137</v>
      </c>
      <c r="E60" s="59" t="s">
        <v>632</v>
      </c>
      <c r="F60" s="60">
        <f t="shared" si="0"/>
        <v>37</v>
      </c>
      <c r="G60" s="60" t="str">
        <f>IFERROR(INDEX($A$2:$A$226,MATCH(ROWS($F$2:F60),$F$2:$F$226,0)),"")</f>
        <v>EUNICE</v>
      </c>
      <c r="H60" s="61">
        <f>IF(ISERROR(SEARCH(Cover!$C$4,$G60)),0,1)</f>
        <v>1</v>
      </c>
      <c r="I60" s="61">
        <f>IF($H60=0,"",COUNTIF($H$2:H60,1))</f>
        <v>59</v>
      </c>
      <c r="J60" s="61" t="str">
        <f t="shared" si="1"/>
        <v>EUNICE</v>
      </c>
      <c r="K60" s="61" t="str">
        <f t="shared" si="2"/>
        <v>District</v>
      </c>
    </row>
    <row r="61" spans="1:11" x14ac:dyDescent="0.25">
      <c r="A61" s="59" t="s">
        <v>207</v>
      </c>
      <c r="B61" s="59" t="s">
        <v>208</v>
      </c>
      <c r="C61" s="59" t="s">
        <v>120</v>
      </c>
      <c r="D61" s="59" t="s">
        <v>209</v>
      </c>
      <c r="E61" s="59" t="s">
        <v>633</v>
      </c>
      <c r="F61" s="60">
        <f t="shared" si="0"/>
        <v>39</v>
      </c>
      <c r="G61" s="60" t="str">
        <f>IFERROR(INDEX($A$2:$A$226,MATCH(ROWS($F$2:F61),$F$2:$F$226,0)),"")</f>
        <v>EXPLORE ACADEMY</v>
      </c>
      <c r="H61" s="61">
        <f>IF(ISERROR(SEARCH(Cover!$C$4,$G61)),0,1)</f>
        <v>1</v>
      </c>
      <c r="I61" s="61">
        <f>IF($H61=0,"",COUNTIF($H$2:H61,1))</f>
        <v>60</v>
      </c>
      <c r="J61" s="61" t="str">
        <f t="shared" si="1"/>
        <v>EXPLORE ACADEMY</v>
      </c>
      <c r="K61" s="61" t="str">
        <f t="shared" si="2"/>
        <v>District</v>
      </c>
    </row>
    <row r="62" spans="1:11" x14ac:dyDescent="0.25">
      <c r="A62" s="59" t="s">
        <v>218</v>
      </c>
      <c r="B62" s="59" t="s">
        <v>219</v>
      </c>
      <c r="C62" s="59" t="s">
        <v>120</v>
      </c>
      <c r="D62" s="59" t="s">
        <v>161</v>
      </c>
      <c r="E62" s="59" t="s">
        <v>634</v>
      </c>
      <c r="F62" s="60">
        <f t="shared" si="0"/>
        <v>43</v>
      </c>
      <c r="G62" s="60" t="str">
        <f>IFERROR(INDEX($A$2:$A$226,MATCH(ROWS($F$2:F62),$F$2:$F$226,0)),"")</f>
        <v>EXPLORE ACADEMY - LAS CRUCES</v>
      </c>
      <c r="H62" s="61">
        <f>IF(ISERROR(SEARCH(Cover!$C$4,$G62)),0,1)</f>
        <v>1</v>
      </c>
      <c r="I62" s="61">
        <f>IF($H62=0,"",COUNTIF($H$2:H62,1))</f>
        <v>61</v>
      </c>
      <c r="J62" s="61" t="str">
        <f t="shared" si="1"/>
        <v>EXPLORE ACADEMY - LAS CRUCES</v>
      </c>
      <c r="K62" s="61" t="str">
        <f t="shared" si="2"/>
        <v>District</v>
      </c>
    </row>
    <row r="63" spans="1:11" x14ac:dyDescent="0.25">
      <c r="A63" s="59" t="s">
        <v>224</v>
      </c>
      <c r="B63" s="59" t="s">
        <v>225</v>
      </c>
      <c r="C63" s="59" t="s">
        <v>120</v>
      </c>
      <c r="D63" s="59" t="s">
        <v>226</v>
      </c>
      <c r="E63" s="59" t="s">
        <v>635</v>
      </c>
      <c r="F63" s="60">
        <f t="shared" si="0"/>
        <v>45</v>
      </c>
      <c r="G63" s="60" t="str">
        <f>IFERROR(INDEX($A$2:$A$226,MATCH(ROWS($F$2:F63),$F$2:$F$226,0)),"")</f>
        <v>FARMINGTON</v>
      </c>
      <c r="H63" s="61">
        <f>IF(ISERROR(SEARCH(Cover!$C$4,$G63)),0,1)</f>
        <v>1</v>
      </c>
      <c r="I63" s="61">
        <f>IF($H63=0,"",COUNTIF($H$2:H63,1))</f>
        <v>62</v>
      </c>
      <c r="J63" s="61" t="str">
        <f t="shared" si="1"/>
        <v>FARMINGTON</v>
      </c>
      <c r="K63" s="61" t="str">
        <f t="shared" si="2"/>
        <v>District</v>
      </c>
    </row>
    <row r="64" spans="1:11" x14ac:dyDescent="0.25">
      <c r="A64" s="59" t="s">
        <v>227</v>
      </c>
      <c r="B64" s="59" t="s">
        <v>228</v>
      </c>
      <c r="C64" s="59" t="s">
        <v>107</v>
      </c>
      <c r="D64" s="59" t="s">
        <v>226</v>
      </c>
      <c r="E64" s="59" t="s">
        <v>636</v>
      </c>
      <c r="F64" s="60">
        <f t="shared" si="0"/>
        <v>46</v>
      </c>
      <c r="G64" s="60" t="str">
        <f>IFERROR(INDEX($A$2:$A$226,MATCH(ROWS($F$2:F64),$F$2:$F$226,0)),"")</f>
        <v>FLOYD</v>
      </c>
      <c r="H64" s="61">
        <f>IF(ISERROR(SEARCH(Cover!$C$4,$G64)),0,1)</f>
        <v>1</v>
      </c>
      <c r="I64" s="61">
        <f>IF($H64=0,"",COUNTIF($H$2:H64,1))</f>
        <v>63</v>
      </c>
      <c r="J64" s="61" t="str">
        <f t="shared" si="1"/>
        <v>FLOYD</v>
      </c>
      <c r="K64" s="61" t="str">
        <f t="shared" si="2"/>
        <v>Local Charter</v>
      </c>
    </row>
    <row r="65" spans="1:11" x14ac:dyDescent="0.25">
      <c r="A65" s="59"/>
      <c r="B65" s="59"/>
      <c r="C65" s="59"/>
      <c r="D65" s="59"/>
      <c r="E65" s="59" t="s">
        <v>612</v>
      </c>
      <c r="F65" s="60">
        <f t="shared" si="0"/>
        <v>0</v>
      </c>
      <c r="G65" s="60" t="str">
        <f>IFERROR(INDEX($A$2:$A$226,MATCH(ROWS($F$2:F65),$F$2:$F$226,0)),"")</f>
        <v>FT. SUMNER</v>
      </c>
      <c r="H65" s="61">
        <f>IF(ISERROR(SEARCH(Cover!$C$4,$G65)),0,1)</f>
        <v>1</v>
      </c>
      <c r="I65" s="61">
        <f>IF($H65=0,"",COUNTIF($H$2:H65,1))</f>
        <v>64</v>
      </c>
      <c r="J65" s="61" t="str">
        <f t="shared" si="1"/>
        <v>FT. SUMNER</v>
      </c>
      <c r="K65" s="61" t="str">
        <f t="shared" si="2"/>
        <v/>
      </c>
    </row>
    <row r="66" spans="1:11" x14ac:dyDescent="0.25">
      <c r="A66" s="59" t="s">
        <v>229</v>
      </c>
      <c r="B66" s="59" t="s">
        <v>230</v>
      </c>
      <c r="C66" s="59" t="s">
        <v>120</v>
      </c>
      <c r="D66" s="59" t="s">
        <v>231</v>
      </c>
      <c r="E66" s="59" t="s">
        <v>637</v>
      </c>
      <c r="F66" s="60">
        <f t="shared" si="0"/>
        <v>47</v>
      </c>
      <c r="G66" s="60" t="str">
        <f>IFERROR(INDEX($A$2:$A$226,MATCH(ROWS($F$2:F66),$F$2:$F$226,0)),"")</f>
        <v>GADSDEN</v>
      </c>
      <c r="H66" s="61">
        <f>IF(ISERROR(SEARCH(Cover!$C$4,$G66)),0,1)</f>
        <v>1</v>
      </c>
      <c r="I66" s="61">
        <f>IF($H66=0,"",COUNTIF($H$2:H66,1))</f>
        <v>65</v>
      </c>
      <c r="J66" s="61" t="str">
        <f t="shared" si="1"/>
        <v>GADSDEN</v>
      </c>
      <c r="K66" s="61" t="str">
        <f t="shared" si="2"/>
        <v>District</v>
      </c>
    </row>
    <row r="67" spans="1:11" x14ac:dyDescent="0.25">
      <c r="A67" s="59" t="s">
        <v>232</v>
      </c>
      <c r="B67" s="59" t="s">
        <v>233</v>
      </c>
      <c r="C67" s="59" t="s">
        <v>120</v>
      </c>
      <c r="D67" s="59" t="s">
        <v>234</v>
      </c>
      <c r="E67" s="59" t="s">
        <v>638</v>
      </c>
      <c r="F67" s="60">
        <f t="shared" ref="F67:F130" si="3">COUNTIF($A$2:$A$226,"&lt;="&amp;A67)</f>
        <v>48</v>
      </c>
      <c r="G67" s="60" t="str">
        <f>IFERROR(INDEX($A$2:$A$226,MATCH(ROWS($F$2:F67),$F$2:$F$226,0)),"")</f>
        <v>GALLUP</v>
      </c>
      <c r="H67" s="61">
        <f>IF(ISERROR(SEARCH(Cover!$C$4,$G67)),0,1)</f>
        <v>1</v>
      </c>
      <c r="I67" s="61">
        <f>IF($H67=0,"",COUNTIF($H$2:H67,1))</f>
        <v>66</v>
      </c>
      <c r="J67" s="61" t="str">
        <f t="shared" ref="J67:J130" si="4">IFERROR(INDEX(G66:G291,MATCH(ROW(I66),I66:I291,0)),"")</f>
        <v>GALLUP</v>
      </c>
      <c r="K67" s="61" t="str">
        <f t="shared" ref="K67:K130" si="5">IF(C67="D","District",IF(C67="LC","Local Charter",IF(C67="SC","State Charter","")))</f>
        <v>District</v>
      </c>
    </row>
    <row r="68" spans="1:11" x14ac:dyDescent="0.25">
      <c r="A68" s="59" t="s">
        <v>237</v>
      </c>
      <c r="B68" s="59" t="s">
        <v>238</v>
      </c>
      <c r="C68" s="59" t="s">
        <v>120</v>
      </c>
      <c r="D68" s="59" t="s">
        <v>239</v>
      </c>
      <c r="E68" s="59" t="s">
        <v>639</v>
      </c>
      <c r="F68" s="60">
        <f t="shared" si="3"/>
        <v>50</v>
      </c>
      <c r="G68" s="60" t="str">
        <f>IFERROR(INDEX($A$2:$A$226,MATCH(ROWS($F$2:F68),$F$2:$F$226,0)),"")</f>
        <v>GILBERT L. SENA CHARTER</v>
      </c>
      <c r="H68" s="61">
        <f>IF(ISERROR(SEARCH(Cover!$C$4,$G68)),0,1)</f>
        <v>1</v>
      </c>
      <c r="I68" s="61">
        <f>IF($H68=0,"",COUNTIF($H$2:H68,1))</f>
        <v>67</v>
      </c>
      <c r="J68" s="61" t="str">
        <f t="shared" si="4"/>
        <v>GILBERT L. SENA CHARTER</v>
      </c>
      <c r="K68" s="61" t="str">
        <f t="shared" si="5"/>
        <v>District</v>
      </c>
    </row>
    <row r="69" spans="1:11" x14ac:dyDescent="0.25">
      <c r="A69" s="59" t="s">
        <v>242</v>
      </c>
      <c r="B69" s="59" t="s">
        <v>243</v>
      </c>
      <c r="C69" s="59" t="s">
        <v>120</v>
      </c>
      <c r="D69" s="59" t="s">
        <v>187</v>
      </c>
      <c r="E69" s="59" t="s">
        <v>640</v>
      </c>
      <c r="F69" s="60">
        <f t="shared" si="3"/>
        <v>52</v>
      </c>
      <c r="G69" s="60" t="str">
        <f>IFERROR(INDEX($A$2:$A$226,MATCH(ROWS($F$2:F69),$F$2:$F$226,0)),"")</f>
        <v>GORDON BERNELL</v>
      </c>
      <c r="H69" s="61">
        <f>IF(ISERROR(SEARCH(Cover!$C$4,$G69)),0,1)</f>
        <v>1</v>
      </c>
      <c r="I69" s="61">
        <f>IF($H69=0,"",COUNTIF($H$2:H69,1))</f>
        <v>68</v>
      </c>
      <c r="J69" s="61" t="str">
        <f t="shared" si="4"/>
        <v>GORDON BERNELL</v>
      </c>
      <c r="K69" s="61" t="str">
        <f t="shared" si="5"/>
        <v>District</v>
      </c>
    </row>
    <row r="70" spans="1:11" x14ac:dyDescent="0.25">
      <c r="A70" s="59" t="s">
        <v>248</v>
      </c>
      <c r="B70" s="59" t="s">
        <v>249</v>
      </c>
      <c r="C70" s="59" t="s">
        <v>120</v>
      </c>
      <c r="D70" s="59" t="s">
        <v>250</v>
      </c>
      <c r="E70" s="59" t="s">
        <v>641</v>
      </c>
      <c r="F70" s="60">
        <f t="shared" si="3"/>
        <v>55</v>
      </c>
      <c r="G70" s="60" t="str">
        <f>IFERROR(INDEX($A$2:$A$226,MATCH(ROWS($F$2:F70),$F$2:$F$226,0)),"")</f>
        <v>GRADY</v>
      </c>
      <c r="H70" s="61">
        <f>IF(ISERROR(SEARCH(Cover!$C$4,$G70)),0,1)</f>
        <v>1</v>
      </c>
      <c r="I70" s="61">
        <f>IF($H70=0,"",COUNTIF($H$2:H70,1))</f>
        <v>69</v>
      </c>
      <c r="J70" s="61" t="str">
        <f t="shared" si="4"/>
        <v>GRADY</v>
      </c>
      <c r="K70" s="61" t="str">
        <f t="shared" si="5"/>
        <v>District</v>
      </c>
    </row>
    <row r="71" spans="1:11" x14ac:dyDescent="0.25">
      <c r="A71" s="59" t="s">
        <v>251</v>
      </c>
      <c r="B71" s="59" t="s">
        <v>252</v>
      </c>
      <c r="C71" s="59" t="s">
        <v>120</v>
      </c>
      <c r="D71" s="59" t="s">
        <v>253</v>
      </c>
      <c r="E71" s="59" t="s">
        <v>642</v>
      </c>
      <c r="F71" s="60">
        <f t="shared" si="3"/>
        <v>56</v>
      </c>
      <c r="G71" s="60" t="str">
        <f>IFERROR(INDEX($A$2:$A$226,MATCH(ROWS($F$2:F71),$F$2:$F$226,0)),"")</f>
        <v>GRANTS</v>
      </c>
      <c r="H71" s="61">
        <f>IF(ISERROR(SEARCH(Cover!$C$4,$G71)),0,1)</f>
        <v>1</v>
      </c>
      <c r="I71" s="61">
        <f>IF($H71=0,"",COUNTIF($H$2:H71,1))</f>
        <v>70</v>
      </c>
      <c r="J71" s="61" t="str">
        <f t="shared" si="4"/>
        <v>GRANTS</v>
      </c>
      <c r="K71" s="61" t="str">
        <f t="shared" si="5"/>
        <v>District</v>
      </c>
    </row>
    <row r="72" spans="1:11" x14ac:dyDescent="0.25">
      <c r="A72" s="59" t="s">
        <v>254</v>
      </c>
      <c r="B72" s="59" t="s">
        <v>255</v>
      </c>
      <c r="C72" s="59" t="s">
        <v>120</v>
      </c>
      <c r="D72" s="59" t="s">
        <v>256</v>
      </c>
      <c r="E72" s="59" t="s">
        <v>643</v>
      </c>
      <c r="F72" s="60">
        <f t="shared" si="3"/>
        <v>57</v>
      </c>
      <c r="G72" s="60" t="str">
        <f>IFERROR(INDEX($A$2:$A$226,MATCH(ROWS($F$2:F72),$F$2:$F$226,0)),"")</f>
        <v>HAGERMAN</v>
      </c>
      <c r="H72" s="61">
        <f>IF(ISERROR(SEARCH(Cover!$C$4,$G72)),0,1)</f>
        <v>1</v>
      </c>
      <c r="I72" s="61">
        <f>IF($H72=0,"",COUNTIF($H$2:H72,1))</f>
        <v>71</v>
      </c>
      <c r="J72" s="61" t="str">
        <f t="shared" si="4"/>
        <v>HAGERMAN</v>
      </c>
      <c r="K72" s="61" t="str">
        <f t="shared" si="5"/>
        <v>District</v>
      </c>
    </row>
    <row r="73" spans="1:11" x14ac:dyDescent="0.25">
      <c r="A73" s="59" t="s">
        <v>259</v>
      </c>
      <c r="B73" s="59" t="s">
        <v>260</v>
      </c>
      <c r="C73" s="59" t="s">
        <v>120</v>
      </c>
      <c r="D73" s="59" t="s">
        <v>261</v>
      </c>
      <c r="E73" s="59" t="s">
        <v>644</v>
      </c>
      <c r="F73" s="60">
        <f t="shared" si="3"/>
        <v>59</v>
      </c>
      <c r="G73" s="60" t="str">
        <f>IFERROR(INDEX($A$2:$A$226,MATCH(ROWS($F$2:F73),$F$2:$F$226,0)),"")</f>
        <v>HATCH</v>
      </c>
      <c r="H73" s="61">
        <f>IF(ISERROR(SEARCH(Cover!$C$4,$G73)),0,1)</f>
        <v>1</v>
      </c>
      <c r="I73" s="61">
        <f>IF($H73=0,"",COUNTIF($H$2:H73,1))</f>
        <v>72</v>
      </c>
      <c r="J73" s="61" t="str">
        <f t="shared" si="4"/>
        <v>HATCH</v>
      </c>
      <c r="K73" s="61" t="str">
        <f t="shared" si="5"/>
        <v>District</v>
      </c>
    </row>
    <row r="74" spans="1:11" x14ac:dyDescent="0.25">
      <c r="A74" s="59" t="s">
        <v>263</v>
      </c>
      <c r="B74" s="59" t="s">
        <v>264</v>
      </c>
      <c r="C74" s="59" t="s">
        <v>120</v>
      </c>
      <c r="D74" s="59" t="s">
        <v>164</v>
      </c>
      <c r="E74" s="59" t="s">
        <v>645</v>
      </c>
      <c r="F74" s="60">
        <f t="shared" si="3"/>
        <v>62</v>
      </c>
      <c r="G74" s="60" t="str">
        <f>IFERROR(INDEX($A$2:$A$226,MATCH(ROWS($F$2:F74),$F$2:$F$226,0)),"")</f>
        <v>HEALTH LEADERSHIP CHARTER</v>
      </c>
      <c r="H74" s="61">
        <f>IF(ISERROR(SEARCH(Cover!$C$4,$G74)),0,1)</f>
        <v>1</v>
      </c>
      <c r="I74" s="61">
        <f>IF($H74=0,"",COUNTIF($H$2:H74,1))</f>
        <v>73</v>
      </c>
      <c r="J74" s="61" t="str">
        <f t="shared" si="4"/>
        <v>HEALTH LEADERSHIP CHARTER</v>
      </c>
      <c r="K74" s="61" t="str">
        <f t="shared" si="5"/>
        <v>District</v>
      </c>
    </row>
    <row r="75" spans="1:11" x14ac:dyDescent="0.25">
      <c r="A75" s="59" t="s">
        <v>265</v>
      </c>
      <c r="B75" s="59" t="s">
        <v>266</v>
      </c>
      <c r="C75" s="59" t="s">
        <v>120</v>
      </c>
      <c r="D75" s="59" t="s">
        <v>239</v>
      </c>
      <c r="E75" s="59" t="s">
        <v>646</v>
      </c>
      <c r="F75" s="60">
        <f t="shared" si="3"/>
        <v>63</v>
      </c>
      <c r="G75" s="60" t="str">
        <f>IFERROR(INDEX($A$2:$A$226,MATCH(ROWS($F$2:F75),$F$2:$F$226,0)),"")</f>
        <v>HOBBS</v>
      </c>
      <c r="H75" s="61">
        <f>IF(ISERROR(SEARCH(Cover!$C$4,$G75)),0,1)</f>
        <v>1</v>
      </c>
      <c r="I75" s="61">
        <f>IF($H75=0,"",COUNTIF($H$2:H75,1))</f>
        <v>74</v>
      </c>
      <c r="J75" s="61" t="str">
        <f t="shared" si="4"/>
        <v>HOBBS</v>
      </c>
      <c r="K75" s="61" t="str">
        <f t="shared" si="5"/>
        <v>District</v>
      </c>
    </row>
    <row r="76" spans="1:11" x14ac:dyDescent="0.25">
      <c r="A76" s="59" t="s">
        <v>267</v>
      </c>
      <c r="B76" s="59" t="s">
        <v>268</v>
      </c>
      <c r="C76" s="59" t="s">
        <v>120</v>
      </c>
      <c r="D76" s="59" t="s">
        <v>269</v>
      </c>
      <c r="E76" s="59" t="s">
        <v>647</v>
      </c>
      <c r="F76" s="60">
        <f t="shared" si="3"/>
        <v>64</v>
      </c>
      <c r="G76" s="60" t="str">
        <f>IFERROR(INDEX($A$2:$A$226,MATCH(ROWS($F$2:F76),$F$2:$F$226,0)),"")</f>
        <v>HONDO</v>
      </c>
      <c r="H76" s="61">
        <f>IF(ISERROR(SEARCH(Cover!$C$4,$G76)),0,1)</f>
        <v>1</v>
      </c>
      <c r="I76" s="61">
        <f>IF($H76=0,"",COUNTIF($H$2:H76,1))</f>
        <v>75</v>
      </c>
      <c r="J76" s="61" t="str">
        <f t="shared" si="4"/>
        <v>HONDO</v>
      </c>
      <c r="K76" s="61" t="str">
        <f t="shared" si="5"/>
        <v>District</v>
      </c>
    </row>
    <row r="77" spans="1:11" x14ac:dyDescent="0.25">
      <c r="A77" s="59" t="s">
        <v>270</v>
      </c>
      <c r="B77" s="59" t="s">
        <v>271</v>
      </c>
      <c r="C77" s="59" t="s">
        <v>120</v>
      </c>
      <c r="D77" s="59" t="s">
        <v>272</v>
      </c>
      <c r="E77" s="59" t="s">
        <v>648</v>
      </c>
      <c r="F77" s="60">
        <f t="shared" si="3"/>
        <v>65</v>
      </c>
      <c r="G77" s="60" t="str">
        <f>IFERROR(INDEX($A$2:$A$226,MATCH(ROWS($F$2:F77),$F$2:$F$226,0)),"")</f>
        <v>HORIZON ACADEMY WEST ST. CHARTER</v>
      </c>
      <c r="H77" s="61">
        <f>IF(ISERROR(SEARCH(Cover!$C$4,$G77)),0,1)</f>
        <v>1</v>
      </c>
      <c r="I77" s="61">
        <f>IF($H77=0,"",COUNTIF($H$2:H77,1))</f>
        <v>76</v>
      </c>
      <c r="J77" s="61" t="str">
        <f t="shared" si="4"/>
        <v>HORIZON ACADEMY WEST ST. CHARTER</v>
      </c>
      <c r="K77" s="61" t="str">
        <f t="shared" si="5"/>
        <v>District</v>
      </c>
    </row>
    <row r="78" spans="1:11" x14ac:dyDescent="0.25">
      <c r="A78" s="59" t="s">
        <v>221</v>
      </c>
      <c r="B78" s="59" t="s">
        <v>273</v>
      </c>
      <c r="C78" s="59" t="s">
        <v>120</v>
      </c>
      <c r="D78" s="59" t="s">
        <v>274</v>
      </c>
      <c r="E78" s="59" t="s">
        <v>649</v>
      </c>
      <c r="F78" s="60">
        <f t="shared" si="3"/>
        <v>66</v>
      </c>
      <c r="G78" s="60" t="str">
        <f>IFERROR(INDEX($A$2:$A$226,MATCH(ROWS($F$2:F78),$F$2:$F$226,0)),"")</f>
        <v>HOUSE</v>
      </c>
      <c r="H78" s="61">
        <f>IF(ISERROR(SEARCH(Cover!$C$4,$G78)),0,1)</f>
        <v>1</v>
      </c>
      <c r="I78" s="61">
        <f>IF($H78=0,"",COUNTIF($H$2:H78,1))</f>
        <v>77</v>
      </c>
      <c r="J78" s="61" t="str">
        <f t="shared" si="4"/>
        <v>HOUSE</v>
      </c>
      <c r="K78" s="61" t="str">
        <f t="shared" si="5"/>
        <v>District</v>
      </c>
    </row>
    <row r="79" spans="1:11" x14ac:dyDescent="0.25">
      <c r="A79" s="59" t="s">
        <v>279</v>
      </c>
      <c r="B79" s="59" t="s">
        <v>280</v>
      </c>
      <c r="C79" s="59" t="s">
        <v>120</v>
      </c>
      <c r="D79" s="59" t="s">
        <v>281</v>
      </c>
      <c r="E79" s="59" t="s">
        <v>650</v>
      </c>
      <c r="F79" s="60">
        <f t="shared" si="3"/>
        <v>69</v>
      </c>
      <c r="G79" s="60" t="str">
        <f>IFERROR(INDEX($A$2:$A$226,MATCH(ROWS($F$2:F79),$F$2:$F$226,0)),"")</f>
        <v>HOZHO ACADEMY</v>
      </c>
      <c r="H79" s="61">
        <f>IF(ISERROR(SEARCH(Cover!$C$4,$G79)),0,1)</f>
        <v>1</v>
      </c>
      <c r="I79" s="61">
        <f>IF($H79=0,"",COUNTIF($H$2:H79,1))</f>
        <v>78</v>
      </c>
      <c r="J79" s="61" t="str">
        <f t="shared" si="4"/>
        <v>HOZHO ACADEMY</v>
      </c>
      <c r="K79" s="61" t="str">
        <f t="shared" si="5"/>
        <v>District</v>
      </c>
    </row>
    <row r="80" spans="1:11" x14ac:dyDescent="0.25">
      <c r="A80" s="59" t="s">
        <v>282</v>
      </c>
      <c r="B80" s="59" t="s">
        <v>283</v>
      </c>
      <c r="C80" s="59" t="s">
        <v>120</v>
      </c>
      <c r="D80" s="59" t="s">
        <v>284</v>
      </c>
      <c r="E80" s="59" t="s">
        <v>651</v>
      </c>
      <c r="F80" s="60">
        <f t="shared" si="3"/>
        <v>70</v>
      </c>
      <c r="G80" s="60" t="str">
        <f>IFERROR(INDEX($A$2:$A$226,MATCH(ROWS($F$2:F80),$F$2:$F$226,0)),"")</f>
        <v>INT'L SCHOOL MESA DEL SOL ST. CHARTER</v>
      </c>
      <c r="H80" s="61">
        <f>IF(ISERROR(SEARCH(Cover!$C$4,$G80)),0,1)</f>
        <v>1</v>
      </c>
      <c r="I80" s="61">
        <f>IF($H80=0,"",COUNTIF($H$2:H80,1))</f>
        <v>79</v>
      </c>
      <c r="J80" s="61" t="str">
        <f t="shared" si="4"/>
        <v>INT'L SCHOOL MESA DEL SOL ST. CHARTER</v>
      </c>
      <c r="K80" s="61" t="str">
        <f t="shared" si="5"/>
        <v>District</v>
      </c>
    </row>
    <row r="81" spans="1:11" x14ac:dyDescent="0.25">
      <c r="A81" s="59" t="s">
        <v>285</v>
      </c>
      <c r="B81" s="59" t="s">
        <v>286</v>
      </c>
      <c r="C81" s="59" t="s">
        <v>120</v>
      </c>
      <c r="D81" s="59" t="s">
        <v>234</v>
      </c>
      <c r="E81" s="59" t="s">
        <v>652</v>
      </c>
      <c r="F81" s="60">
        <f t="shared" si="3"/>
        <v>71</v>
      </c>
      <c r="G81" s="60" t="str">
        <f>IFERROR(INDEX($A$2:$A$226,MATCH(ROWS($F$2:F81),$F$2:$F$226,0)),"")</f>
        <v>J. PAUL TAYLOR ACADEMY</v>
      </c>
      <c r="H81" s="61">
        <f>IF(ISERROR(SEARCH(Cover!$C$4,$G81)),0,1)</f>
        <v>1</v>
      </c>
      <c r="I81" s="61">
        <f>IF($H81=0,"",COUNTIF($H$2:H81,1))</f>
        <v>80</v>
      </c>
      <c r="J81" s="61" t="str">
        <f t="shared" si="4"/>
        <v>J. PAUL TAYLOR ACADEMY</v>
      </c>
      <c r="K81" s="61" t="str">
        <f t="shared" si="5"/>
        <v>District</v>
      </c>
    </row>
    <row r="82" spans="1:11" x14ac:dyDescent="0.25">
      <c r="A82" s="59" t="s">
        <v>287</v>
      </c>
      <c r="B82" s="59" t="s">
        <v>288</v>
      </c>
      <c r="C82" s="59" t="s">
        <v>120</v>
      </c>
      <c r="D82" s="59" t="s">
        <v>143</v>
      </c>
      <c r="E82" s="59" t="s">
        <v>653</v>
      </c>
      <c r="F82" s="60">
        <f t="shared" si="3"/>
        <v>72</v>
      </c>
      <c r="G82" s="60" t="str">
        <f>IFERROR(INDEX($A$2:$A$226,MATCH(ROWS($F$2:F82),$F$2:$F$226,0)),"")</f>
        <v>JAL</v>
      </c>
      <c r="H82" s="61">
        <f>IF(ISERROR(SEARCH(Cover!$C$4,$G82)),0,1)</f>
        <v>1</v>
      </c>
      <c r="I82" s="61">
        <f>IF($H82=0,"",COUNTIF($H$2:H82,1))</f>
        <v>81</v>
      </c>
      <c r="J82" s="61" t="str">
        <f t="shared" si="4"/>
        <v>JAL</v>
      </c>
      <c r="K82" s="61" t="str">
        <f t="shared" si="5"/>
        <v>District</v>
      </c>
    </row>
    <row r="83" spans="1:11" x14ac:dyDescent="0.25">
      <c r="A83" s="59" t="s">
        <v>291</v>
      </c>
      <c r="B83" s="59" t="s">
        <v>292</v>
      </c>
      <c r="C83" s="59" t="s">
        <v>120</v>
      </c>
      <c r="D83" s="59" t="s">
        <v>261</v>
      </c>
      <c r="E83" s="59" t="s">
        <v>654</v>
      </c>
      <c r="F83" s="60">
        <f t="shared" si="3"/>
        <v>74</v>
      </c>
      <c r="G83" s="60" t="str">
        <f>IFERROR(INDEX($A$2:$A$226,MATCH(ROWS($F$2:F83),$F$2:$F$226,0)),"")</f>
        <v>JEFFERSON MONT. ACAD.</v>
      </c>
      <c r="H83" s="61">
        <f>IF(ISERROR(SEARCH(Cover!$C$4,$G83)),0,1)</f>
        <v>1</v>
      </c>
      <c r="I83" s="61">
        <f>IF($H83=0,"",COUNTIF($H$2:H83,1))</f>
        <v>82</v>
      </c>
      <c r="J83" s="61" t="str">
        <f t="shared" si="4"/>
        <v>JEFFERSON MONT. ACAD.</v>
      </c>
      <c r="K83" s="61" t="str">
        <f t="shared" si="5"/>
        <v>District</v>
      </c>
    </row>
    <row r="84" spans="1:11" x14ac:dyDescent="0.25">
      <c r="A84" s="59" t="s">
        <v>293</v>
      </c>
      <c r="B84" s="59" t="s">
        <v>294</v>
      </c>
      <c r="C84" s="59" t="s">
        <v>120</v>
      </c>
      <c r="D84" s="59" t="s">
        <v>174</v>
      </c>
      <c r="E84" s="59" t="s">
        <v>655</v>
      </c>
      <c r="F84" s="60">
        <f t="shared" si="3"/>
        <v>75</v>
      </c>
      <c r="G84" s="60" t="str">
        <f>IFERROR(INDEX($A$2:$A$226,MATCH(ROWS($F$2:F84),$F$2:$F$226,0)),"")</f>
        <v>JEMEZ MOUNTAIN</v>
      </c>
      <c r="H84" s="61">
        <f>IF(ISERROR(SEARCH(Cover!$C$4,$G84)),0,1)</f>
        <v>1</v>
      </c>
      <c r="I84" s="61">
        <f>IF($H84=0,"",COUNTIF($H$2:H84,1))</f>
        <v>83</v>
      </c>
      <c r="J84" s="61" t="str">
        <f t="shared" si="4"/>
        <v>JEMEZ MOUNTAIN</v>
      </c>
      <c r="K84" s="61" t="str">
        <f t="shared" si="5"/>
        <v>District</v>
      </c>
    </row>
    <row r="85" spans="1:11" x14ac:dyDescent="0.25">
      <c r="A85" s="59" t="s">
        <v>296</v>
      </c>
      <c r="B85" s="59" t="s">
        <v>297</v>
      </c>
      <c r="C85" s="59" t="s">
        <v>120</v>
      </c>
      <c r="D85" s="59" t="s">
        <v>298</v>
      </c>
      <c r="E85" s="59" t="s">
        <v>656</v>
      </c>
      <c r="F85" s="60">
        <f t="shared" si="3"/>
        <v>77</v>
      </c>
      <c r="G85" s="60" t="str">
        <f>IFERROR(INDEX($A$2:$A$226,MATCH(ROWS($F$2:F85),$F$2:$F$226,0)),"")</f>
        <v>JEMEZ VALLEY</v>
      </c>
      <c r="H85" s="61">
        <f>IF(ISERROR(SEARCH(Cover!$C$4,$G85)),0,1)</f>
        <v>1</v>
      </c>
      <c r="I85" s="61">
        <f>IF($H85=0,"",COUNTIF($H$2:H85,1))</f>
        <v>84</v>
      </c>
      <c r="J85" s="61" t="str">
        <f t="shared" si="4"/>
        <v>JEMEZ VALLEY</v>
      </c>
      <c r="K85" s="61" t="str">
        <f t="shared" si="5"/>
        <v>District</v>
      </c>
    </row>
    <row r="86" spans="1:11" x14ac:dyDescent="0.25">
      <c r="A86" s="59" t="s">
        <v>303</v>
      </c>
      <c r="B86" s="59" t="s">
        <v>304</v>
      </c>
      <c r="C86" s="59" t="s">
        <v>120</v>
      </c>
      <c r="D86" s="59" t="s">
        <v>261</v>
      </c>
      <c r="E86" s="59" t="s">
        <v>657</v>
      </c>
      <c r="F86" s="60">
        <f t="shared" si="3"/>
        <v>81</v>
      </c>
      <c r="G86" s="60" t="str">
        <f>IFERROR(INDEX($A$2:$A$226,MATCH(ROWS($F$2:F86),$F$2:$F$226,0)),"")</f>
        <v>LA ACADEMIA DE ESPERANZA</v>
      </c>
      <c r="H86" s="61">
        <f>IF(ISERROR(SEARCH(Cover!$C$4,$G86)),0,1)</f>
        <v>1</v>
      </c>
      <c r="I86" s="61">
        <f>IF($H86=0,"",COUNTIF($H$2:H86,1))</f>
        <v>85</v>
      </c>
      <c r="J86" s="61" t="str">
        <f t="shared" si="4"/>
        <v>LA ACADEMIA DE ESPERANZA</v>
      </c>
      <c r="K86" s="61" t="str">
        <f t="shared" si="5"/>
        <v>District</v>
      </c>
    </row>
    <row r="87" spans="1:11" x14ac:dyDescent="0.25">
      <c r="A87" s="59" t="s">
        <v>307</v>
      </c>
      <c r="B87" s="59" t="s">
        <v>308</v>
      </c>
      <c r="C87" s="59" t="s">
        <v>120</v>
      </c>
      <c r="D87" s="59" t="s">
        <v>187</v>
      </c>
      <c r="E87" s="59" t="s">
        <v>658</v>
      </c>
      <c r="F87" s="60">
        <f t="shared" si="3"/>
        <v>83</v>
      </c>
      <c r="G87" s="60" t="str">
        <f>IFERROR(INDEX($A$2:$A$226,MATCH(ROWS($F$2:F87),$F$2:$F$226,0)),"")</f>
        <v>LA ACADEMIA DOLORES HUERTA</v>
      </c>
      <c r="H87" s="61">
        <f>IF(ISERROR(SEARCH(Cover!$C$4,$G87)),0,1)</f>
        <v>1</v>
      </c>
      <c r="I87" s="61">
        <f>IF($H87=0,"",COUNTIF($H$2:H87,1))</f>
        <v>86</v>
      </c>
      <c r="J87" s="61" t="str">
        <f t="shared" si="4"/>
        <v>LA ACADEMIA DOLORES HUERTA</v>
      </c>
      <c r="K87" s="61" t="str">
        <f t="shared" si="5"/>
        <v>District</v>
      </c>
    </row>
    <row r="88" spans="1:11" x14ac:dyDescent="0.25">
      <c r="A88" s="59" t="s">
        <v>309</v>
      </c>
      <c r="B88" s="59" t="s">
        <v>310</v>
      </c>
      <c r="C88" s="59" t="s">
        <v>120</v>
      </c>
      <c r="D88" s="59" t="s">
        <v>161</v>
      </c>
      <c r="E88" s="59" t="s">
        <v>659</v>
      </c>
      <c r="F88" s="60">
        <f t="shared" si="3"/>
        <v>84</v>
      </c>
      <c r="G88" s="60" t="str">
        <f>IFERROR(INDEX($A$2:$A$226,MATCH(ROWS($F$2:F88),$F$2:$F$226,0)),"")</f>
        <v>LA TIERRA MONTESSORI</v>
      </c>
      <c r="H88" s="61">
        <f>IF(ISERROR(SEARCH(Cover!$C$4,$G88)),0,1)</f>
        <v>1</v>
      </c>
      <c r="I88" s="61">
        <f>IF($H88=0,"",COUNTIF($H$2:H88,1))</f>
        <v>87</v>
      </c>
      <c r="J88" s="61" t="str">
        <f t="shared" si="4"/>
        <v>LA TIERRA MONTESSORI</v>
      </c>
      <c r="K88" s="61" t="str">
        <f t="shared" si="5"/>
        <v>District</v>
      </c>
    </row>
    <row r="89" spans="1:11" x14ac:dyDescent="0.25">
      <c r="A89" s="59" t="s">
        <v>427</v>
      </c>
      <c r="B89" s="59" t="s">
        <v>428</v>
      </c>
      <c r="C89" s="59" t="s">
        <v>107</v>
      </c>
      <c r="D89" s="59" t="s">
        <v>161</v>
      </c>
      <c r="E89" s="59" t="s">
        <v>660</v>
      </c>
      <c r="F89" s="60">
        <f t="shared" si="3"/>
        <v>146</v>
      </c>
      <c r="G89" s="60" t="str">
        <f>IFERROR(INDEX($A$2:$A$226,MATCH(ROWS($F$2:F89),$F$2:$F$226,0)),"")</f>
        <v>LAKE ARTHUR</v>
      </c>
      <c r="H89" s="61">
        <f>IF(ISERROR(SEARCH(Cover!$C$4,$G89)),0,1)</f>
        <v>1</v>
      </c>
      <c r="I89" s="61">
        <f>IF($H89=0,"",COUNTIF($H$2:H89,1))</f>
        <v>88</v>
      </c>
      <c r="J89" s="61" t="str">
        <f t="shared" si="4"/>
        <v>LAKE ARTHUR</v>
      </c>
      <c r="K89" s="61" t="str">
        <f t="shared" si="5"/>
        <v>Local Charter</v>
      </c>
    </row>
    <row r="90" spans="1:11" x14ac:dyDescent="0.25">
      <c r="A90" s="59"/>
      <c r="B90" s="59"/>
      <c r="C90" s="59"/>
      <c r="D90" s="59"/>
      <c r="E90" s="59" t="s">
        <v>612</v>
      </c>
      <c r="F90" s="60">
        <f t="shared" si="3"/>
        <v>0</v>
      </c>
      <c r="G90" s="60" t="str">
        <f>IFERROR(INDEX($A$2:$A$226,MATCH(ROWS($F$2:F90),$F$2:$F$226,0)),"")</f>
        <v>LAS CRUCES</v>
      </c>
      <c r="H90" s="61">
        <f>IF(ISERROR(SEARCH(Cover!$C$4,$G90)),0,1)</f>
        <v>1</v>
      </c>
      <c r="I90" s="61">
        <f>IF($H90=0,"",COUNTIF($H$2:H90,1))</f>
        <v>89</v>
      </c>
      <c r="J90" s="61" t="str">
        <f t="shared" si="4"/>
        <v>LAS CRUCES</v>
      </c>
      <c r="K90" s="61" t="str">
        <f t="shared" si="5"/>
        <v/>
      </c>
    </row>
    <row r="91" spans="1:11" x14ac:dyDescent="0.25">
      <c r="A91" s="59" t="s">
        <v>315</v>
      </c>
      <c r="B91" s="59" t="s">
        <v>316</v>
      </c>
      <c r="C91" s="59" t="s">
        <v>120</v>
      </c>
      <c r="D91" s="59" t="s">
        <v>234</v>
      </c>
      <c r="E91" s="59" t="s">
        <v>661</v>
      </c>
      <c r="F91" s="60">
        <f t="shared" si="3"/>
        <v>88</v>
      </c>
      <c r="G91" s="60" t="str">
        <f>IFERROR(INDEX($A$2:$A$226,MATCH(ROWS($F$2:F91),$F$2:$F$226,0)),"")</f>
        <v>LAS MONTANAS</v>
      </c>
      <c r="H91" s="61">
        <f>IF(ISERROR(SEARCH(Cover!$C$4,$G91)),0,1)</f>
        <v>1</v>
      </c>
      <c r="I91" s="61">
        <f>IF($H91=0,"",COUNTIF($H$2:H91,1))</f>
        <v>90</v>
      </c>
      <c r="J91" s="61" t="str">
        <f t="shared" si="4"/>
        <v>LAS MONTANAS</v>
      </c>
      <c r="K91" s="61" t="str">
        <f t="shared" si="5"/>
        <v>District</v>
      </c>
    </row>
    <row r="92" spans="1:11" x14ac:dyDescent="0.25">
      <c r="A92" s="59" t="s">
        <v>141</v>
      </c>
      <c r="B92" s="59" t="s">
        <v>317</v>
      </c>
      <c r="C92" s="59" t="s">
        <v>120</v>
      </c>
      <c r="D92" s="59" t="s">
        <v>318</v>
      </c>
      <c r="E92" s="59" t="s">
        <v>662</v>
      </c>
      <c r="F92" s="60">
        <f t="shared" si="3"/>
        <v>89</v>
      </c>
      <c r="G92" s="60" t="str">
        <f>IFERROR(INDEX($A$2:$A$226,MATCH(ROWS($F$2:F92),$F$2:$F$226,0)),"")</f>
        <v>LAS VEGAS CITY</v>
      </c>
      <c r="H92" s="61">
        <f>IF(ISERROR(SEARCH(Cover!$C$4,$G92)),0,1)</f>
        <v>1</v>
      </c>
      <c r="I92" s="61">
        <f>IF($H92=0,"",COUNTIF($H$2:H92,1))</f>
        <v>91</v>
      </c>
      <c r="J92" s="61" t="str">
        <f t="shared" si="4"/>
        <v>LAS VEGAS CITY</v>
      </c>
      <c r="K92" s="61" t="str">
        <f t="shared" si="5"/>
        <v>District</v>
      </c>
    </row>
    <row r="93" spans="1:11" x14ac:dyDescent="0.25">
      <c r="A93" s="59" t="s">
        <v>320</v>
      </c>
      <c r="B93" s="59" t="s">
        <v>321</v>
      </c>
      <c r="C93" s="59" t="s">
        <v>120</v>
      </c>
      <c r="D93" s="59" t="s">
        <v>322</v>
      </c>
      <c r="E93" s="59" t="s">
        <v>663</v>
      </c>
      <c r="F93" s="60">
        <f t="shared" si="3"/>
        <v>91</v>
      </c>
      <c r="G93" s="60" t="str">
        <f>IFERROR(INDEX($A$2:$A$226,MATCH(ROWS($F$2:F93),$F$2:$F$226,0)),"")</f>
        <v>LOGAN</v>
      </c>
      <c r="H93" s="61">
        <f>IF(ISERROR(SEARCH(Cover!$C$4,$G93)),0,1)</f>
        <v>1</v>
      </c>
      <c r="I93" s="61">
        <f>IF($H93=0,"",COUNTIF($H$2:H93,1))</f>
        <v>92</v>
      </c>
      <c r="J93" s="61" t="str">
        <f t="shared" si="4"/>
        <v>LOGAN</v>
      </c>
      <c r="K93" s="61" t="str">
        <f t="shared" si="5"/>
        <v>District</v>
      </c>
    </row>
    <row r="94" spans="1:11" x14ac:dyDescent="0.25">
      <c r="A94" s="59" t="s">
        <v>323</v>
      </c>
      <c r="B94" s="59" t="s">
        <v>324</v>
      </c>
      <c r="C94" s="59" t="s">
        <v>120</v>
      </c>
      <c r="D94" s="59" t="s">
        <v>325</v>
      </c>
      <c r="E94" s="59" t="s">
        <v>664</v>
      </c>
      <c r="F94" s="60">
        <f t="shared" si="3"/>
        <v>92</v>
      </c>
      <c r="G94" s="60" t="str">
        <f>IFERROR(INDEX($A$2:$A$226,MATCH(ROWS($F$2:F94),$F$2:$F$226,0)),"")</f>
        <v>LORDSBURG</v>
      </c>
      <c r="H94" s="61">
        <f>IF(ISERROR(SEARCH(Cover!$C$4,$G94)),0,1)</f>
        <v>1</v>
      </c>
      <c r="I94" s="61">
        <f>IF($H94=0,"",COUNTIF($H$2:H94,1))</f>
        <v>93</v>
      </c>
      <c r="J94" s="61" t="str">
        <f t="shared" si="4"/>
        <v>LORDSBURG</v>
      </c>
      <c r="K94" s="61" t="str">
        <f t="shared" si="5"/>
        <v>District</v>
      </c>
    </row>
    <row r="95" spans="1:11" x14ac:dyDescent="0.25">
      <c r="A95" s="59" t="s">
        <v>326</v>
      </c>
      <c r="B95" s="59" t="s">
        <v>327</v>
      </c>
      <c r="C95" s="59" t="s">
        <v>120</v>
      </c>
      <c r="D95" s="59" t="s">
        <v>154</v>
      </c>
      <c r="E95" s="59" t="s">
        <v>665</v>
      </c>
      <c r="F95" s="60">
        <f t="shared" si="3"/>
        <v>93</v>
      </c>
      <c r="G95" s="60" t="str">
        <f>IFERROR(INDEX($A$2:$A$226,MATCH(ROWS($F$2:F95),$F$2:$F$226,0)),"")</f>
        <v>LOS ALAMOS</v>
      </c>
      <c r="H95" s="61">
        <f>IF(ISERROR(SEARCH(Cover!$C$4,$G95)),0,1)</f>
        <v>1</v>
      </c>
      <c r="I95" s="61">
        <f>IF($H95=0,"",COUNTIF($H$2:H95,1))</f>
        <v>94</v>
      </c>
      <c r="J95" s="61" t="str">
        <f t="shared" si="4"/>
        <v>LOS ALAMOS</v>
      </c>
      <c r="K95" s="61" t="str">
        <f t="shared" si="5"/>
        <v>District</v>
      </c>
    </row>
    <row r="96" spans="1:11" x14ac:dyDescent="0.25">
      <c r="A96" s="59" t="s">
        <v>328</v>
      </c>
      <c r="B96" s="59" t="s">
        <v>329</v>
      </c>
      <c r="C96" s="59" t="s">
        <v>120</v>
      </c>
      <c r="D96" s="59" t="s">
        <v>330</v>
      </c>
      <c r="E96" s="59" t="s">
        <v>330</v>
      </c>
      <c r="F96" s="60">
        <f t="shared" si="3"/>
        <v>94</v>
      </c>
      <c r="G96" s="60" t="str">
        <f>IFERROR(INDEX($A$2:$A$226,MATCH(ROWS($F$2:F96),$F$2:$F$226,0)),"")</f>
        <v>LOS LUNAS</v>
      </c>
      <c r="H96" s="61">
        <f>IF(ISERROR(SEARCH(Cover!$C$4,$G96)),0,1)</f>
        <v>1</v>
      </c>
      <c r="I96" s="61">
        <f>IF($H96=0,"",COUNTIF($H$2:H96,1))</f>
        <v>95</v>
      </c>
      <c r="J96" s="61" t="str">
        <f t="shared" si="4"/>
        <v>LOS LUNAS</v>
      </c>
      <c r="K96" s="61" t="str">
        <f t="shared" si="5"/>
        <v>District</v>
      </c>
    </row>
    <row r="97" spans="1:11" x14ac:dyDescent="0.25">
      <c r="A97" s="59" t="s">
        <v>331</v>
      </c>
      <c r="B97" s="59" t="s">
        <v>332</v>
      </c>
      <c r="C97" s="59" t="s">
        <v>120</v>
      </c>
      <c r="D97" s="59" t="s">
        <v>333</v>
      </c>
      <c r="E97" s="59" t="s">
        <v>666</v>
      </c>
      <c r="F97" s="60">
        <f t="shared" si="3"/>
        <v>95</v>
      </c>
      <c r="G97" s="60" t="str">
        <f>IFERROR(INDEX($A$2:$A$226,MATCH(ROWS($F$2:F97),$F$2:$F$226,0)),"")</f>
        <v>LOS PUENTES</v>
      </c>
      <c r="H97" s="61">
        <f>IF(ISERROR(SEARCH(Cover!$C$4,$G97)),0,1)</f>
        <v>1</v>
      </c>
      <c r="I97" s="61">
        <f>IF($H97=0,"",COUNTIF($H$2:H97,1))</f>
        <v>96</v>
      </c>
      <c r="J97" s="61" t="str">
        <f t="shared" si="4"/>
        <v>LOS PUENTES</v>
      </c>
      <c r="K97" s="61" t="str">
        <f t="shared" si="5"/>
        <v>District</v>
      </c>
    </row>
    <row r="98" spans="1:11" x14ac:dyDescent="0.25">
      <c r="A98" s="59" t="s">
        <v>336</v>
      </c>
      <c r="B98" s="59" t="s">
        <v>337</v>
      </c>
      <c r="C98" s="59" t="s">
        <v>120</v>
      </c>
      <c r="D98" s="59" t="s">
        <v>177</v>
      </c>
      <c r="E98" s="59" t="s">
        <v>667</v>
      </c>
      <c r="F98" s="60">
        <f t="shared" si="3"/>
        <v>97</v>
      </c>
      <c r="G98" s="60" t="str">
        <f>IFERROR(INDEX($A$2:$A$226,MATCH(ROWS($F$2:F98),$F$2:$F$226,0)),"")</f>
        <v>LOVING</v>
      </c>
      <c r="H98" s="61">
        <f>IF(ISERROR(SEARCH(Cover!$C$4,$G98)),0,1)</f>
        <v>1</v>
      </c>
      <c r="I98" s="61">
        <f>IF($H98=0,"",COUNTIF($H$2:H98,1))</f>
        <v>97</v>
      </c>
      <c r="J98" s="61" t="str">
        <f t="shared" si="4"/>
        <v>LOVING</v>
      </c>
      <c r="K98" s="61" t="str">
        <f t="shared" si="5"/>
        <v>District</v>
      </c>
    </row>
    <row r="99" spans="1:11" x14ac:dyDescent="0.25">
      <c r="A99" s="59" t="s">
        <v>338</v>
      </c>
      <c r="B99" s="59" t="s">
        <v>339</v>
      </c>
      <c r="C99" s="59" t="s">
        <v>120</v>
      </c>
      <c r="D99" s="59" t="s">
        <v>261</v>
      </c>
      <c r="E99" s="59" t="s">
        <v>668</v>
      </c>
      <c r="F99" s="60">
        <f t="shared" si="3"/>
        <v>98</v>
      </c>
      <c r="G99" s="60" t="str">
        <f>IFERROR(INDEX($A$2:$A$226,MATCH(ROWS($F$2:F99),$F$2:$F$226,0)),"")</f>
        <v>LOVINGTON</v>
      </c>
      <c r="H99" s="61">
        <f>IF(ISERROR(SEARCH(Cover!$C$4,$G99)),0,1)</f>
        <v>1</v>
      </c>
      <c r="I99" s="61">
        <f>IF($H99=0,"",COUNTIF($H$2:H99,1))</f>
        <v>98</v>
      </c>
      <c r="J99" s="61" t="str">
        <f t="shared" si="4"/>
        <v>LOVINGTON</v>
      </c>
      <c r="K99" s="61" t="str">
        <f t="shared" si="5"/>
        <v>District</v>
      </c>
    </row>
    <row r="100" spans="1:11" x14ac:dyDescent="0.25">
      <c r="A100" s="59" t="s">
        <v>340</v>
      </c>
      <c r="B100" s="59" t="s">
        <v>341</v>
      </c>
      <c r="C100" s="59" t="s">
        <v>120</v>
      </c>
      <c r="D100" s="59" t="s">
        <v>217</v>
      </c>
      <c r="E100" s="59" t="s">
        <v>669</v>
      </c>
      <c r="F100" s="60">
        <f t="shared" si="3"/>
        <v>99</v>
      </c>
      <c r="G100" s="60" t="str">
        <f>IFERROR(INDEX($A$2:$A$226,MATCH(ROWS($F$2:F100),$F$2:$F$226,0)),"")</f>
        <v>MAGDALENA</v>
      </c>
      <c r="H100" s="61">
        <f>IF(ISERROR(SEARCH(Cover!$C$4,$G100)),0,1)</f>
        <v>1</v>
      </c>
      <c r="I100" s="61">
        <f>IF($H100=0,"",COUNTIF($H$2:H100,1))</f>
        <v>99</v>
      </c>
      <c r="J100" s="61" t="str">
        <f t="shared" si="4"/>
        <v>MAGDALENA</v>
      </c>
      <c r="K100" s="61" t="str">
        <f t="shared" si="5"/>
        <v>District</v>
      </c>
    </row>
    <row r="101" spans="1:11" x14ac:dyDescent="0.25">
      <c r="A101" s="59" t="s">
        <v>345</v>
      </c>
      <c r="B101" s="59" t="s">
        <v>346</v>
      </c>
      <c r="C101" s="59" t="s">
        <v>120</v>
      </c>
      <c r="D101" s="59" t="s">
        <v>194</v>
      </c>
      <c r="E101" s="59" t="s">
        <v>670</v>
      </c>
      <c r="F101" s="60">
        <f t="shared" si="3"/>
        <v>102</v>
      </c>
      <c r="G101" s="60" t="str">
        <f>IFERROR(INDEX($A$2:$A$226,MATCH(ROWS($F$2:F101),$F$2:$F$226,0)),"")</f>
        <v>MARK ARMIJO (NUESTROS VALORES)</v>
      </c>
      <c r="H101" s="61">
        <f>IF(ISERROR(SEARCH(Cover!$C$4,$G101)),0,1)</f>
        <v>1</v>
      </c>
      <c r="I101" s="61">
        <f>IF($H101=0,"",COUNTIF($H$2:H101,1))</f>
        <v>100</v>
      </c>
      <c r="J101" s="61" t="str">
        <f t="shared" si="4"/>
        <v>MARK ARMIJO (NUESTROS VALORES)</v>
      </c>
      <c r="K101" s="61" t="str">
        <f t="shared" si="5"/>
        <v>District</v>
      </c>
    </row>
    <row r="102" spans="1:11" x14ac:dyDescent="0.25">
      <c r="A102" s="59" t="s">
        <v>349</v>
      </c>
      <c r="B102" s="59" t="s">
        <v>350</v>
      </c>
      <c r="C102" s="59" t="s">
        <v>120</v>
      </c>
      <c r="D102" s="59" t="s">
        <v>351</v>
      </c>
      <c r="E102" s="59" t="s">
        <v>671</v>
      </c>
      <c r="F102" s="60">
        <f t="shared" si="3"/>
        <v>105</v>
      </c>
      <c r="G102" s="60" t="str">
        <f>IFERROR(INDEX($A$2:$A$226,MATCH(ROWS($F$2:F102),$F$2:$F$226,0)),"")</f>
        <v>MASTERS PROGRAM ST. CHARTER</v>
      </c>
      <c r="H102" s="61">
        <f>IF(ISERROR(SEARCH(Cover!$C$4,$G102)),0,1)</f>
        <v>1</v>
      </c>
      <c r="I102" s="61">
        <f>IF($H102=0,"",COUNTIF($H$2:H102,1))</f>
        <v>101</v>
      </c>
      <c r="J102" s="61" t="str">
        <f t="shared" si="4"/>
        <v>MASTERS PROGRAM ST. CHARTER</v>
      </c>
      <c r="K102" s="61" t="str">
        <f t="shared" si="5"/>
        <v>District</v>
      </c>
    </row>
    <row r="103" spans="1:11" x14ac:dyDescent="0.25">
      <c r="A103" s="59" t="s">
        <v>352</v>
      </c>
      <c r="B103" s="59" t="s">
        <v>353</v>
      </c>
      <c r="C103" s="59" t="s">
        <v>120</v>
      </c>
      <c r="D103" s="59" t="s">
        <v>354</v>
      </c>
      <c r="E103" s="59" t="s">
        <v>672</v>
      </c>
      <c r="F103" s="60">
        <f t="shared" si="3"/>
        <v>106</v>
      </c>
      <c r="G103" s="60" t="str">
        <f>IFERROR(INDEX($A$2:$A$226,MATCH(ROWS($F$2:F103),$F$2:$F$226,0)),"")</f>
        <v>MAXWELL</v>
      </c>
      <c r="H103" s="61">
        <f>IF(ISERROR(SEARCH(Cover!$C$4,$G103)),0,1)</f>
        <v>1</v>
      </c>
      <c r="I103" s="61">
        <f>IF($H103=0,"",COUNTIF($H$2:H103,1))</f>
        <v>102</v>
      </c>
      <c r="J103" s="61" t="str">
        <f t="shared" si="4"/>
        <v>MAXWELL</v>
      </c>
      <c r="K103" s="61" t="str">
        <f t="shared" si="5"/>
        <v>District</v>
      </c>
    </row>
    <row r="104" spans="1:11" x14ac:dyDescent="0.25">
      <c r="A104" s="59" t="s">
        <v>361</v>
      </c>
      <c r="B104" s="59" t="s">
        <v>362</v>
      </c>
      <c r="C104" s="59" t="s">
        <v>120</v>
      </c>
      <c r="D104" s="59" t="s">
        <v>363</v>
      </c>
      <c r="E104" s="59" t="s">
        <v>363</v>
      </c>
      <c r="F104" s="60">
        <f t="shared" si="3"/>
        <v>112</v>
      </c>
      <c r="G104" s="60" t="str">
        <f>IFERROR(INDEX($A$2:$A$226,MATCH(ROWS($F$2:F104),$F$2:$F$226,0)),"")</f>
        <v>MCCURDY CHARTER SCHOOL</v>
      </c>
      <c r="H104" s="61">
        <f>IF(ISERROR(SEARCH(Cover!$C$4,$G104)),0,1)</f>
        <v>1</v>
      </c>
      <c r="I104" s="61">
        <f>IF($H104=0,"",COUNTIF($H$2:H104,1))</f>
        <v>103</v>
      </c>
      <c r="J104" s="61" t="str">
        <f t="shared" si="4"/>
        <v>MCCURDY CHARTER SCHOOL</v>
      </c>
      <c r="K104" s="61" t="str">
        <f t="shared" si="5"/>
        <v>District</v>
      </c>
    </row>
    <row r="105" spans="1:11" x14ac:dyDescent="0.25">
      <c r="A105" s="59" t="s">
        <v>257</v>
      </c>
      <c r="B105" s="59" t="s">
        <v>366</v>
      </c>
      <c r="C105" s="59" t="s">
        <v>120</v>
      </c>
      <c r="D105" s="59" t="s">
        <v>367</v>
      </c>
      <c r="E105" s="59" t="s">
        <v>673</v>
      </c>
      <c r="F105" s="60">
        <f t="shared" si="3"/>
        <v>114</v>
      </c>
      <c r="G105" s="60" t="str">
        <f>IFERROR(INDEX($A$2:$A$226,MATCH(ROWS($F$2:F105),$F$2:$F$226,0)),"")</f>
        <v>MEDIA ARTS COLLAB. ST. CHARTER</v>
      </c>
      <c r="H105" s="61">
        <f>IF(ISERROR(SEARCH(Cover!$C$4,$G105)),0,1)</f>
        <v>1</v>
      </c>
      <c r="I105" s="61">
        <f>IF($H105=0,"",COUNTIF($H$2:H105,1))</f>
        <v>104</v>
      </c>
      <c r="J105" s="61" t="str">
        <f t="shared" si="4"/>
        <v>MEDIA ARTS COLLAB. ST. CHARTER</v>
      </c>
      <c r="K105" s="61" t="str">
        <f t="shared" si="5"/>
        <v>District</v>
      </c>
    </row>
    <row r="106" spans="1:11" x14ac:dyDescent="0.25">
      <c r="A106" s="59" t="s">
        <v>370</v>
      </c>
      <c r="B106" s="59" t="s">
        <v>371</v>
      </c>
      <c r="C106" s="59" t="s">
        <v>120</v>
      </c>
      <c r="D106" s="59" t="s">
        <v>372</v>
      </c>
      <c r="E106" s="59" t="s">
        <v>674</v>
      </c>
      <c r="F106" s="60">
        <f t="shared" si="3"/>
        <v>116</v>
      </c>
      <c r="G106" s="60" t="str">
        <f>IFERROR(INDEX($A$2:$A$226,MATCH(ROWS($F$2:F106),$F$2:$F$226,0)),"")</f>
        <v>MELROSE</v>
      </c>
      <c r="H106" s="61">
        <f>IF(ISERROR(SEARCH(Cover!$C$4,$G106)),0,1)</f>
        <v>1</v>
      </c>
      <c r="I106" s="61">
        <f>IF($H106=0,"",COUNTIF($H$2:H106,1))</f>
        <v>105</v>
      </c>
      <c r="J106" s="61" t="str">
        <f t="shared" si="4"/>
        <v>MELROSE</v>
      </c>
      <c r="K106" s="61" t="str">
        <f t="shared" si="5"/>
        <v>District</v>
      </c>
    </row>
    <row r="107" spans="1:11" x14ac:dyDescent="0.25">
      <c r="A107" s="59" t="s">
        <v>375</v>
      </c>
      <c r="B107" s="59" t="s">
        <v>376</v>
      </c>
      <c r="C107" s="59" t="s">
        <v>120</v>
      </c>
      <c r="D107" s="59" t="s">
        <v>377</v>
      </c>
      <c r="E107" s="59" t="s">
        <v>675</v>
      </c>
      <c r="F107" s="60">
        <f t="shared" si="3"/>
        <v>118</v>
      </c>
      <c r="G107" s="60" t="str">
        <f>IFERROR(INDEX($A$2:$A$226,MATCH(ROWS($F$2:F107),$F$2:$F$226,0)),"")</f>
        <v>MESA VISTA</v>
      </c>
      <c r="H107" s="61">
        <f>IF(ISERROR(SEARCH(Cover!$C$4,$G107)),0,1)</f>
        <v>1</v>
      </c>
      <c r="I107" s="61">
        <f>IF($H107=0,"",COUNTIF($H$2:H107,1))</f>
        <v>106</v>
      </c>
      <c r="J107" s="61" t="str">
        <f t="shared" si="4"/>
        <v>MESA VISTA</v>
      </c>
      <c r="K107" s="61" t="str">
        <f t="shared" si="5"/>
        <v>District</v>
      </c>
    </row>
    <row r="108" spans="1:11" x14ac:dyDescent="0.25">
      <c r="A108" s="59" t="s">
        <v>392</v>
      </c>
      <c r="B108" s="59" t="s">
        <v>393</v>
      </c>
      <c r="C108" s="59" t="s">
        <v>120</v>
      </c>
      <c r="D108" s="59" t="s">
        <v>394</v>
      </c>
      <c r="E108" s="59" t="s">
        <v>676</v>
      </c>
      <c r="F108" s="60">
        <f t="shared" si="3"/>
        <v>127</v>
      </c>
      <c r="G108" s="60" t="str">
        <f>IFERROR(INDEX($A$2:$A$226,MATCH(ROWS($F$2:F108),$F$2:$F$226,0)),"")</f>
        <v>MIDDLE COLLEGE HIGH</v>
      </c>
      <c r="H108" s="61">
        <f>IF(ISERROR(SEARCH(Cover!$C$4,$G108)),0,1)</f>
        <v>1</v>
      </c>
      <c r="I108" s="61">
        <f>IF($H108=0,"",COUNTIF($H$2:H108,1))</f>
        <v>107</v>
      </c>
      <c r="J108" s="61" t="str">
        <f t="shared" si="4"/>
        <v>MIDDLE COLLEGE HIGH</v>
      </c>
      <c r="K108" s="61" t="str">
        <f t="shared" si="5"/>
        <v>District</v>
      </c>
    </row>
    <row r="109" spans="1:11" x14ac:dyDescent="0.25">
      <c r="A109" s="59" t="s">
        <v>396</v>
      </c>
      <c r="B109" s="59" t="s">
        <v>397</v>
      </c>
      <c r="C109" s="59" t="s">
        <v>120</v>
      </c>
      <c r="D109" s="59" t="s">
        <v>354</v>
      </c>
      <c r="E109" s="59" t="s">
        <v>677</v>
      </c>
      <c r="F109" s="60">
        <f t="shared" si="3"/>
        <v>129</v>
      </c>
      <c r="G109" s="60" t="str">
        <f>IFERROR(INDEX($A$2:$A$226,MATCH(ROWS($F$2:F109),$F$2:$F$226,0)),"")</f>
        <v>MISSION ACHIEVEMENT &amp; SUCCESS-MAS</v>
      </c>
      <c r="H109" s="61">
        <f>IF(ISERROR(SEARCH(Cover!$C$4,$G109)),0,1)</f>
        <v>1</v>
      </c>
      <c r="I109" s="61">
        <f>IF($H109=0,"",COUNTIF($H$2:H109,1))</f>
        <v>108</v>
      </c>
      <c r="J109" s="61" t="str">
        <f t="shared" si="4"/>
        <v>MISSION ACHIEVEMENT &amp; SUCCESS-MAS</v>
      </c>
      <c r="K109" s="61" t="str">
        <f t="shared" si="5"/>
        <v>District</v>
      </c>
    </row>
    <row r="110" spans="1:11" x14ac:dyDescent="0.25">
      <c r="A110" s="59" t="s">
        <v>398</v>
      </c>
      <c r="B110" s="59" t="s">
        <v>399</v>
      </c>
      <c r="C110" s="59" t="s">
        <v>120</v>
      </c>
      <c r="D110" s="59" t="s">
        <v>108</v>
      </c>
      <c r="E110" s="59" t="s">
        <v>678</v>
      </c>
      <c r="F110" s="60">
        <f t="shared" si="3"/>
        <v>130</v>
      </c>
      <c r="G110" s="60" t="str">
        <f>IFERROR(INDEX($A$2:$A$226,MATCH(ROWS($F$2:F110),$F$2:$F$226,0)),"")</f>
        <v>MONTE DEL SOL</v>
      </c>
      <c r="H110" s="61">
        <f>IF(ISERROR(SEARCH(Cover!$C$4,$G110)),0,1)</f>
        <v>1</v>
      </c>
      <c r="I110" s="61">
        <f>IF($H110=0,"",COUNTIF($H$2:H110,1))</f>
        <v>109</v>
      </c>
      <c r="J110" s="61" t="str">
        <f t="shared" si="4"/>
        <v>MONTE DEL SOL</v>
      </c>
      <c r="K110" s="61" t="str">
        <f t="shared" si="5"/>
        <v>District</v>
      </c>
    </row>
    <row r="111" spans="1:11" x14ac:dyDescent="0.25">
      <c r="A111" s="59" t="s">
        <v>400</v>
      </c>
      <c r="B111" s="59" t="s">
        <v>401</v>
      </c>
      <c r="C111" s="59" t="s">
        <v>120</v>
      </c>
      <c r="D111" s="59" t="s">
        <v>239</v>
      </c>
      <c r="E111" s="59" t="s">
        <v>679</v>
      </c>
      <c r="F111" s="60">
        <f t="shared" si="3"/>
        <v>131</v>
      </c>
      <c r="G111" s="60" t="str">
        <f>IFERROR(INDEX($A$2:$A$226,MATCH(ROWS($F$2:F111),$F$2:$F$226,0)),"")</f>
        <v>MONTESSORI ELEMEMTARY ST. CHARTER</v>
      </c>
      <c r="H111" s="61">
        <f>IF(ISERROR(SEARCH(Cover!$C$4,$G111)),0,1)</f>
        <v>1</v>
      </c>
      <c r="I111" s="61">
        <f>IF($H111=0,"",COUNTIF($H$2:H111,1))</f>
        <v>110</v>
      </c>
      <c r="J111" s="61" t="str">
        <f t="shared" si="4"/>
        <v>MONTESSORI ELEMEMTARY ST. CHARTER</v>
      </c>
      <c r="K111" s="61" t="str">
        <f t="shared" si="5"/>
        <v>District</v>
      </c>
    </row>
    <row r="112" spans="1:11" x14ac:dyDescent="0.25">
      <c r="A112" s="59" t="s">
        <v>402</v>
      </c>
      <c r="B112" s="59" t="s">
        <v>403</v>
      </c>
      <c r="C112" s="59" t="s">
        <v>120</v>
      </c>
      <c r="D112" s="59" t="s">
        <v>404</v>
      </c>
      <c r="E112" s="59" t="s">
        <v>680</v>
      </c>
      <c r="F112" s="60">
        <f t="shared" si="3"/>
        <v>132</v>
      </c>
      <c r="G112" s="60" t="str">
        <f>IFERROR(INDEX($A$2:$A$226,MATCH(ROWS($F$2:F112),$F$2:$F$226,0)),"")</f>
        <v>MONTESSORI OF THE RIO GRANDE</v>
      </c>
      <c r="H112" s="61">
        <f>IF(ISERROR(SEARCH(Cover!$C$4,$G112)),0,1)</f>
        <v>1</v>
      </c>
      <c r="I112" s="61">
        <f>IF($H112=0,"",COUNTIF($H$2:H112,1))</f>
        <v>111</v>
      </c>
      <c r="J112" s="61" t="str">
        <f t="shared" si="4"/>
        <v>MONTESSORI OF THE RIO GRANDE</v>
      </c>
      <c r="K112" s="61" t="str">
        <f t="shared" si="5"/>
        <v>District</v>
      </c>
    </row>
    <row r="113" spans="1:11" x14ac:dyDescent="0.25">
      <c r="A113" s="59" t="s">
        <v>405</v>
      </c>
      <c r="B113" s="59" t="s">
        <v>406</v>
      </c>
      <c r="C113" s="59" t="s">
        <v>120</v>
      </c>
      <c r="D113" s="59" t="s">
        <v>151</v>
      </c>
      <c r="E113" s="59" t="s">
        <v>681</v>
      </c>
      <c r="F113" s="60">
        <f t="shared" si="3"/>
        <v>133</v>
      </c>
      <c r="G113" s="60" t="str">
        <f>IFERROR(INDEX($A$2:$A$226,MATCH(ROWS($F$2:F113),$F$2:$F$226,0)),"")</f>
        <v>MORA</v>
      </c>
      <c r="H113" s="61">
        <f>IF(ISERROR(SEARCH(Cover!$C$4,$G113)),0,1)</f>
        <v>1</v>
      </c>
      <c r="I113" s="61">
        <f>IF($H113=0,"",COUNTIF($H$2:H113,1))</f>
        <v>112</v>
      </c>
      <c r="J113" s="61" t="str">
        <f t="shared" si="4"/>
        <v>MORA</v>
      </c>
      <c r="K113" s="61" t="str">
        <f t="shared" si="5"/>
        <v>District</v>
      </c>
    </row>
    <row r="114" spans="1:11" x14ac:dyDescent="0.25">
      <c r="A114" s="59" t="s">
        <v>408</v>
      </c>
      <c r="B114" s="59" t="s">
        <v>409</v>
      </c>
      <c r="C114" s="59" t="s">
        <v>120</v>
      </c>
      <c r="D114" s="59" t="s">
        <v>194</v>
      </c>
      <c r="E114" s="59" t="s">
        <v>682</v>
      </c>
      <c r="F114" s="60">
        <f t="shared" si="3"/>
        <v>135</v>
      </c>
      <c r="G114" s="60" t="str">
        <f>IFERROR(INDEX($A$2:$A$226,MATCH(ROWS($F$2:F114),$F$2:$F$226,0)),"")</f>
        <v>MORENO VALLEY HIGH</v>
      </c>
      <c r="H114" s="61">
        <f>IF(ISERROR(SEARCH(Cover!$C$4,$G114)),0,1)</f>
        <v>1</v>
      </c>
      <c r="I114" s="61">
        <f>IF($H114=0,"",COUNTIF($H$2:H114,1))</f>
        <v>113</v>
      </c>
      <c r="J114" s="61" t="str">
        <f t="shared" si="4"/>
        <v>MORENO VALLEY HIGH</v>
      </c>
      <c r="K114" s="61" t="str">
        <f t="shared" si="5"/>
        <v>District</v>
      </c>
    </row>
    <row r="115" spans="1:11" x14ac:dyDescent="0.25">
      <c r="A115" s="59" t="s">
        <v>411</v>
      </c>
      <c r="B115" s="59" t="s">
        <v>412</v>
      </c>
      <c r="C115" s="59" t="s">
        <v>120</v>
      </c>
      <c r="D115" s="59" t="s">
        <v>413</v>
      </c>
      <c r="E115" s="59" t="s">
        <v>683</v>
      </c>
      <c r="F115" s="60">
        <f t="shared" si="3"/>
        <v>137</v>
      </c>
      <c r="G115" s="60" t="str">
        <f>IFERROR(INDEX($A$2:$A$226,MATCH(ROWS($F$2:F115),$F$2:$F$226,0)),"")</f>
        <v>MORIARTY</v>
      </c>
      <c r="H115" s="61">
        <f>IF(ISERROR(SEARCH(Cover!$C$4,$G115)),0,1)</f>
        <v>1</v>
      </c>
      <c r="I115" s="61">
        <f>IF($H115=0,"",COUNTIF($H$2:H115,1))</f>
        <v>114</v>
      </c>
      <c r="J115" s="61" t="str">
        <f t="shared" si="4"/>
        <v>MORIARTY</v>
      </c>
      <c r="K115" s="61" t="str">
        <f t="shared" si="5"/>
        <v>District</v>
      </c>
    </row>
    <row r="116" spans="1:11" x14ac:dyDescent="0.25">
      <c r="A116" s="59" t="s">
        <v>159</v>
      </c>
      <c r="B116" s="59" t="s">
        <v>417</v>
      </c>
      <c r="C116" s="59" t="s">
        <v>120</v>
      </c>
      <c r="D116" s="59" t="s">
        <v>161</v>
      </c>
      <c r="E116" s="59" t="s">
        <v>684</v>
      </c>
      <c r="F116" s="60">
        <f t="shared" si="3"/>
        <v>140</v>
      </c>
      <c r="G116" s="60" t="str">
        <f>IFERROR(INDEX($A$2:$A$226,MATCH(ROWS($F$2:F116),$F$2:$F$226,0)),"")</f>
        <v>MOSAIC ACADEMY CHARTER</v>
      </c>
      <c r="H116" s="61">
        <f>IF(ISERROR(SEARCH(Cover!$C$4,$G116)),0,1)</f>
        <v>1</v>
      </c>
      <c r="I116" s="61">
        <f>IF($H116=0,"",COUNTIF($H$2:H116,1))</f>
        <v>115</v>
      </c>
      <c r="J116" s="61" t="str">
        <f t="shared" si="4"/>
        <v>MOSAIC ACADEMY CHARTER</v>
      </c>
      <c r="K116" s="61" t="str">
        <f t="shared" si="5"/>
        <v>District</v>
      </c>
    </row>
    <row r="117" spans="1:11" x14ac:dyDescent="0.25">
      <c r="A117" s="59" t="s">
        <v>421</v>
      </c>
      <c r="B117" s="59" t="s">
        <v>422</v>
      </c>
      <c r="C117" s="59" t="s">
        <v>120</v>
      </c>
      <c r="D117" s="59" t="s">
        <v>234</v>
      </c>
      <c r="E117" s="59" t="s">
        <v>685</v>
      </c>
      <c r="F117" s="60">
        <f t="shared" si="3"/>
        <v>143</v>
      </c>
      <c r="G117" s="60" t="str">
        <f>IFERROR(INDEX($A$2:$A$226,MATCH(ROWS($F$2:F117),$F$2:$F$226,0)),"")</f>
        <v>MOSQUERO</v>
      </c>
      <c r="H117" s="61">
        <f>IF(ISERROR(SEARCH(Cover!$C$4,$G117)),0,1)</f>
        <v>1</v>
      </c>
      <c r="I117" s="61">
        <f>IF($H117=0,"",COUNTIF($H$2:H117,1))</f>
        <v>116</v>
      </c>
      <c r="J117" s="61" t="str">
        <f t="shared" si="4"/>
        <v>MOSQUERO</v>
      </c>
      <c r="K117" s="61" t="str">
        <f t="shared" si="5"/>
        <v>District</v>
      </c>
    </row>
    <row r="118" spans="1:11" x14ac:dyDescent="0.25">
      <c r="A118" s="59" t="s">
        <v>438</v>
      </c>
      <c r="B118" s="59" t="s">
        <v>439</v>
      </c>
      <c r="C118" s="59" t="s">
        <v>107</v>
      </c>
      <c r="D118" s="59" t="s">
        <v>234</v>
      </c>
      <c r="E118" s="59" t="s">
        <v>686</v>
      </c>
      <c r="F118" s="60">
        <f t="shared" si="3"/>
        <v>152</v>
      </c>
      <c r="G118" s="60" t="str">
        <f>IFERROR(INDEX($A$2:$A$226,MATCH(ROWS($F$2:F118),$F$2:$F$226,0)),"")</f>
        <v>MOUNTAIN MAHOGANY</v>
      </c>
      <c r="H118" s="61">
        <f>IF(ISERROR(SEARCH(Cover!$C$4,$G118)),0,1)</f>
        <v>1</v>
      </c>
      <c r="I118" s="61">
        <f>IF($H118=0,"",COUNTIF($H$2:H118,1))</f>
        <v>117</v>
      </c>
      <c r="J118" s="61" t="str">
        <f t="shared" si="4"/>
        <v>MOUNTAIN MAHOGANY</v>
      </c>
      <c r="K118" s="61" t="str">
        <f t="shared" si="5"/>
        <v>Local Charter</v>
      </c>
    </row>
    <row r="119" spans="1:11" x14ac:dyDescent="0.25">
      <c r="A119" s="59"/>
      <c r="B119" s="59"/>
      <c r="C119" s="59"/>
      <c r="D119" s="59"/>
      <c r="E119" s="59" t="s">
        <v>612</v>
      </c>
      <c r="F119" s="60">
        <f t="shared" si="3"/>
        <v>0</v>
      </c>
      <c r="G119" s="60" t="str">
        <f>IFERROR(INDEX($A$2:$A$226,MATCH(ROWS($F$2:F119),$F$2:$F$226,0)),"")</f>
        <v>MOUNTAINAIR</v>
      </c>
      <c r="H119" s="61">
        <f>IF(ISERROR(SEARCH(Cover!$C$4,$G119)),0,1)</f>
        <v>1</v>
      </c>
      <c r="I119" s="61">
        <f>IF($H119=0,"",COUNTIF($H$2:H119,1))</f>
        <v>118</v>
      </c>
      <c r="J119" s="61" t="str">
        <f t="shared" si="4"/>
        <v>MOUNTAINAIR</v>
      </c>
      <c r="K119" s="61" t="str">
        <f t="shared" si="5"/>
        <v/>
      </c>
    </row>
    <row r="120" spans="1:11" x14ac:dyDescent="0.25">
      <c r="A120" s="59" t="s">
        <v>423</v>
      </c>
      <c r="B120" s="59" t="s">
        <v>424</v>
      </c>
      <c r="C120" s="59" t="s">
        <v>120</v>
      </c>
      <c r="D120" s="59" t="s">
        <v>372</v>
      </c>
      <c r="E120" s="59" t="s">
        <v>687</v>
      </c>
      <c r="F120" s="60">
        <f t="shared" si="3"/>
        <v>144</v>
      </c>
      <c r="G120" s="60" t="str">
        <f>IFERROR(INDEX($A$2:$A$226,MATCH(ROWS($F$2:F120),$F$2:$F$226,0)),"")</f>
        <v>NATIVE AMERICAN COMM ACAD.</v>
      </c>
      <c r="H120" s="61">
        <f>IF(ISERROR(SEARCH(Cover!$C$4,$G120)),0,1)</f>
        <v>1</v>
      </c>
      <c r="I120" s="61">
        <f>IF($H120=0,"",COUNTIF($H$2:H120,1))</f>
        <v>119</v>
      </c>
      <c r="J120" s="61" t="str">
        <f t="shared" si="4"/>
        <v>NATIVE AMERICAN COMM ACAD.</v>
      </c>
      <c r="K120" s="61" t="str">
        <f t="shared" si="5"/>
        <v>District</v>
      </c>
    </row>
    <row r="121" spans="1:11" x14ac:dyDescent="0.25">
      <c r="A121" s="59" t="s">
        <v>425</v>
      </c>
      <c r="B121" s="59" t="s">
        <v>426</v>
      </c>
      <c r="C121" s="59" t="s">
        <v>120</v>
      </c>
      <c r="D121" s="59" t="s">
        <v>174</v>
      </c>
      <c r="E121" s="59" t="s">
        <v>688</v>
      </c>
      <c r="F121" s="60">
        <f t="shared" si="3"/>
        <v>145</v>
      </c>
      <c r="G121" s="60" t="str">
        <f>IFERROR(INDEX($A$2:$A$226,MATCH(ROWS($F$2:F121),$F$2:$F$226,0)),"")</f>
        <v>NEW AMERICA CHARTER SCHOOL</v>
      </c>
      <c r="H121" s="61">
        <f>IF(ISERROR(SEARCH(Cover!$C$4,$G121)),0,1)</f>
        <v>1</v>
      </c>
      <c r="I121" s="61">
        <f>IF($H121=0,"",COUNTIF($H$2:H121,1))</f>
        <v>120</v>
      </c>
      <c r="J121" s="61" t="str">
        <f t="shared" si="4"/>
        <v>NEW AMERICA CHARTER SCHOOL</v>
      </c>
      <c r="K121" s="61" t="str">
        <f t="shared" si="5"/>
        <v>District</v>
      </c>
    </row>
    <row r="122" spans="1:11" x14ac:dyDescent="0.25">
      <c r="A122" s="59" t="s">
        <v>429</v>
      </c>
      <c r="B122" s="59" t="s">
        <v>430</v>
      </c>
      <c r="C122" s="59" t="s">
        <v>120</v>
      </c>
      <c r="D122" s="59" t="s">
        <v>431</v>
      </c>
      <c r="E122" s="59" t="s">
        <v>689</v>
      </c>
      <c r="F122" s="60">
        <f t="shared" si="3"/>
        <v>147</v>
      </c>
      <c r="G122" s="60" t="str">
        <f>IFERROR(INDEX($A$2:$A$226,MATCH(ROWS($F$2:F122),$F$2:$F$226,0)),"")</f>
        <v>NEW AMERICA SCHOOL - LAS CRUCES</v>
      </c>
      <c r="H122" s="61">
        <f>IF(ISERROR(SEARCH(Cover!$C$4,$G122)),0,1)</f>
        <v>1</v>
      </c>
      <c r="I122" s="61">
        <f>IF($H122=0,"",COUNTIF($H$2:H122,1))</f>
        <v>121</v>
      </c>
      <c r="J122" s="61" t="str">
        <f t="shared" si="4"/>
        <v>NEW AMERICA SCHOOL - LAS CRUCES</v>
      </c>
      <c r="K122" s="61" t="str">
        <f t="shared" si="5"/>
        <v>District</v>
      </c>
    </row>
    <row r="123" spans="1:11" x14ac:dyDescent="0.25">
      <c r="A123" s="59" t="s">
        <v>105</v>
      </c>
      <c r="B123" s="59" t="s">
        <v>433</v>
      </c>
      <c r="C123" s="59" t="s">
        <v>120</v>
      </c>
      <c r="D123" s="59" t="s">
        <v>108</v>
      </c>
      <c r="E123" s="59" t="s">
        <v>108</v>
      </c>
      <c r="F123" s="60">
        <f t="shared" si="3"/>
        <v>149</v>
      </c>
      <c r="G123" s="60" t="str">
        <f>IFERROR(INDEX($A$2:$A$226,MATCH(ROWS($F$2:F123),$F$2:$F$226,0)),"")</f>
        <v>NEW MEXICO CONNECTIONS ACADEMY</v>
      </c>
      <c r="H123" s="61">
        <f>IF(ISERROR(SEARCH(Cover!$C$4,$G123)),0,1)</f>
        <v>1</v>
      </c>
      <c r="I123" s="61">
        <f>IF($H123=0,"",COUNTIF($H$2:H123,1))</f>
        <v>122</v>
      </c>
      <c r="J123" s="61" t="str">
        <f t="shared" si="4"/>
        <v>NEW MEXICO CONNECTIONS ACADEMY</v>
      </c>
      <c r="K123" s="61" t="str">
        <f t="shared" si="5"/>
        <v>District</v>
      </c>
    </row>
    <row r="124" spans="1:11" x14ac:dyDescent="0.25">
      <c r="A124" s="59" t="s">
        <v>104</v>
      </c>
      <c r="B124" s="59" t="s">
        <v>106</v>
      </c>
      <c r="C124" s="59" t="s">
        <v>107</v>
      </c>
      <c r="D124" s="59" t="s">
        <v>108</v>
      </c>
      <c r="E124" s="59" t="s">
        <v>690</v>
      </c>
      <c r="F124" s="60">
        <f t="shared" si="3"/>
        <v>1</v>
      </c>
      <c r="G124" s="60" t="str">
        <f>IFERROR(INDEX($A$2:$A$226,MATCH(ROWS($F$2:F124),$F$2:$F$226,0)),"")</f>
        <v>NEW MEXICO INTERNATIONAL</v>
      </c>
      <c r="H124" s="61">
        <f>IF(ISERROR(SEARCH(Cover!$C$4,$G124)),0,1)</f>
        <v>1</v>
      </c>
      <c r="I124" s="61">
        <f>IF($H124=0,"",COUNTIF($H$2:H124,1))</f>
        <v>123</v>
      </c>
      <c r="J124" s="61" t="str">
        <f t="shared" si="4"/>
        <v>NEW MEXICO INTERNATIONAL</v>
      </c>
      <c r="K124" s="61" t="str">
        <f t="shared" si="5"/>
        <v>Local Charter</v>
      </c>
    </row>
    <row r="125" spans="1:11" x14ac:dyDescent="0.25">
      <c r="A125" s="59"/>
      <c r="B125" s="59"/>
      <c r="C125" s="59"/>
      <c r="D125" s="59"/>
      <c r="E125" s="59" t="s">
        <v>612</v>
      </c>
      <c r="F125" s="60">
        <f t="shared" si="3"/>
        <v>0</v>
      </c>
      <c r="G125" s="60" t="str">
        <f>IFERROR(INDEX($A$2:$A$226,MATCH(ROWS($F$2:F125),$F$2:$F$226,0)),"")</f>
        <v>NEW MEXICO SCHOOL FOR THE ARTS ST. CH</v>
      </c>
      <c r="H125" s="61">
        <f>IF(ISERROR(SEARCH(Cover!$C$4,$G125)),0,1)</f>
        <v>1</v>
      </c>
      <c r="I125" s="61">
        <f>IF($H125=0,"",COUNTIF($H$2:H125,1))</f>
        <v>124</v>
      </c>
      <c r="J125" s="61" t="str">
        <f t="shared" si="4"/>
        <v>NEW MEXICO SCHOOL FOR THE ARTS ST. CH</v>
      </c>
      <c r="K125" s="61" t="str">
        <f t="shared" si="5"/>
        <v/>
      </c>
    </row>
    <row r="126" spans="1:11" x14ac:dyDescent="0.25">
      <c r="A126" s="59" t="s">
        <v>434</v>
      </c>
      <c r="B126" s="59" t="s">
        <v>435</v>
      </c>
      <c r="C126" s="59" t="s">
        <v>120</v>
      </c>
      <c r="D126" s="59" t="s">
        <v>436</v>
      </c>
      <c r="E126" s="59" t="s">
        <v>691</v>
      </c>
      <c r="F126" s="60">
        <f t="shared" si="3"/>
        <v>150</v>
      </c>
      <c r="G126" s="60" t="str">
        <f>IFERROR(INDEX($A$2:$A$226,MATCH(ROWS($F$2:F126),$F$2:$F$226,0)),"")</f>
        <v>NORTH VALLEY ACADEMY ST. CHARTER</v>
      </c>
      <c r="H126" s="61">
        <f>IF(ISERROR(SEARCH(Cover!$C$4,$G126)),0,1)</f>
        <v>1</v>
      </c>
      <c r="I126" s="61">
        <f>IF($H126=0,"",COUNTIF($H$2:H126,1))</f>
        <v>125</v>
      </c>
      <c r="J126" s="61" t="str">
        <f t="shared" si="4"/>
        <v>NORTH VALLEY ACADEMY ST. CHARTER</v>
      </c>
      <c r="K126" s="61" t="str">
        <f t="shared" si="5"/>
        <v>District</v>
      </c>
    </row>
    <row r="127" spans="1:11" x14ac:dyDescent="0.25">
      <c r="A127" s="59" t="s">
        <v>135</v>
      </c>
      <c r="B127" s="59" t="s">
        <v>442</v>
      </c>
      <c r="C127" s="59" t="s">
        <v>120</v>
      </c>
      <c r="D127" s="59" t="s">
        <v>137</v>
      </c>
      <c r="E127" s="59" t="s">
        <v>692</v>
      </c>
      <c r="F127" s="60">
        <f t="shared" si="3"/>
        <v>154</v>
      </c>
      <c r="G127" s="60" t="str">
        <f>IFERROR(INDEX($A$2:$A$226,MATCH(ROWS($F$2:F127),$F$2:$F$226,0)),"")</f>
        <v>PAPA</v>
      </c>
      <c r="H127" s="61">
        <f>IF(ISERROR(SEARCH(Cover!$C$4,$G127)),0,1)</f>
        <v>1</v>
      </c>
      <c r="I127" s="61">
        <f>IF($H127=0,"",COUNTIF($H$2:H127,1))</f>
        <v>126</v>
      </c>
      <c r="J127" s="61" t="str">
        <f t="shared" si="4"/>
        <v>PAPA</v>
      </c>
      <c r="K127" s="61" t="str">
        <f t="shared" si="5"/>
        <v>District</v>
      </c>
    </row>
    <row r="128" spans="1:11" x14ac:dyDescent="0.25">
      <c r="A128" s="59" t="s">
        <v>215</v>
      </c>
      <c r="B128" s="59" t="s">
        <v>444</v>
      </c>
      <c r="C128" s="59" t="s">
        <v>120</v>
      </c>
      <c r="D128" s="59" t="s">
        <v>217</v>
      </c>
      <c r="E128" s="59" t="s">
        <v>217</v>
      </c>
      <c r="F128" s="60">
        <f t="shared" si="3"/>
        <v>156</v>
      </c>
      <c r="G128" s="60" t="str">
        <f>IFERROR(INDEX($A$2:$A$226,MATCH(ROWS($F$2:F128),$F$2:$F$226,0)),"")</f>
        <v>PECOS</v>
      </c>
      <c r="H128" s="61">
        <f>IF(ISERROR(SEARCH(Cover!$C$4,$G128)),0,1)</f>
        <v>1</v>
      </c>
      <c r="I128" s="61">
        <f>IF($H128=0,"",COUNTIF($H$2:H128,1))</f>
        <v>127</v>
      </c>
      <c r="J128" s="61" t="str">
        <f t="shared" si="4"/>
        <v>PECOS</v>
      </c>
      <c r="K128" s="61" t="str">
        <f t="shared" si="5"/>
        <v>District</v>
      </c>
    </row>
    <row r="129" spans="1:11" x14ac:dyDescent="0.25">
      <c r="A129" s="59" t="s">
        <v>214</v>
      </c>
      <c r="B129" s="59" t="s">
        <v>216</v>
      </c>
      <c r="C129" s="59" t="s">
        <v>107</v>
      </c>
      <c r="D129" s="59" t="s">
        <v>217</v>
      </c>
      <c r="E129" s="59" t="s">
        <v>693</v>
      </c>
      <c r="F129" s="60">
        <f t="shared" si="3"/>
        <v>42</v>
      </c>
      <c r="G129" s="60" t="str">
        <f>IFERROR(INDEX($A$2:$A$226,MATCH(ROWS($F$2:F129),$F$2:$F$226,0)),"")</f>
        <v>PECOS CONNECTIONS</v>
      </c>
      <c r="H129" s="61">
        <f>IF(ISERROR(SEARCH(Cover!$C$4,$G129)),0,1)</f>
        <v>1</v>
      </c>
      <c r="I129" s="61">
        <f>IF($H129=0,"",COUNTIF($H$2:H129,1))</f>
        <v>128</v>
      </c>
      <c r="J129" s="61" t="str">
        <f t="shared" si="4"/>
        <v>PECOS CONNECTIONS</v>
      </c>
      <c r="K129" s="61" t="str">
        <f t="shared" si="5"/>
        <v>Local Charter</v>
      </c>
    </row>
    <row r="130" spans="1:11" x14ac:dyDescent="0.25">
      <c r="A130" s="59"/>
      <c r="B130" s="59"/>
      <c r="C130" s="59"/>
      <c r="D130" s="59"/>
      <c r="E130" s="59" t="s">
        <v>612</v>
      </c>
      <c r="F130" s="60">
        <f t="shared" si="3"/>
        <v>0</v>
      </c>
      <c r="G130" s="60" t="str">
        <f>IFERROR(INDEX($A$2:$A$226,MATCH(ROWS($F$2:F130),$F$2:$F$226,0)),"")</f>
        <v>PEÑASCO</v>
      </c>
      <c r="H130" s="61">
        <f>IF(ISERROR(SEARCH(Cover!$C$4,$G130)),0,1)</f>
        <v>1</v>
      </c>
      <c r="I130" s="61">
        <f>IF($H130=0,"",COUNTIF($H$2:H130,1))</f>
        <v>129</v>
      </c>
      <c r="J130" s="61" t="str">
        <f t="shared" si="4"/>
        <v>PEÑASCO</v>
      </c>
      <c r="K130" s="61" t="str">
        <f t="shared" si="5"/>
        <v/>
      </c>
    </row>
    <row r="131" spans="1:11" x14ac:dyDescent="0.25">
      <c r="A131" s="59" t="s">
        <v>451</v>
      </c>
      <c r="B131" s="59" t="s">
        <v>452</v>
      </c>
      <c r="C131" s="59" t="s">
        <v>120</v>
      </c>
      <c r="D131" s="59" t="s">
        <v>453</v>
      </c>
      <c r="E131" s="59" t="s">
        <v>694</v>
      </c>
      <c r="F131" s="60">
        <f t="shared" ref="F131:F194" si="6">COUNTIF($A$2:$A$226,"&lt;="&amp;A131)</f>
        <v>162</v>
      </c>
      <c r="G131" s="60" t="str">
        <f>IFERROR(INDEX($A$2:$A$226,MATCH(ROWS($F$2:F131),$F$2:$F$226,0)),"")</f>
        <v>POJOAQUE</v>
      </c>
      <c r="H131" s="61">
        <f>IF(ISERROR(SEARCH(Cover!$C$4,$G131)),0,1)</f>
        <v>1</v>
      </c>
      <c r="I131" s="61">
        <f>IF($H131=0,"",COUNTIF($H$2:H131,1))</f>
        <v>130</v>
      </c>
      <c r="J131" s="61" t="str">
        <f t="shared" ref="J131:J194" si="7">IFERROR(INDEX(G130:G355,MATCH(ROW(I130),I130:I355,0)),"")</f>
        <v>POJOAQUE</v>
      </c>
      <c r="K131" s="61" t="str">
        <f t="shared" ref="K131:K194" si="8">IF(C131="D","District",IF(C131="LC","Local Charter",IF(C131="SC","State Charter","")))</f>
        <v>District</v>
      </c>
    </row>
    <row r="132" spans="1:11" x14ac:dyDescent="0.25">
      <c r="A132" s="59" t="s">
        <v>149</v>
      </c>
      <c r="B132" s="59" t="s">
        <v>456</v>
      </c>
      <c r="C132" s="59" t="s">
        <v>120</v>
      </c>
      <c r="D132" s="59" t="s">
        <v>151</v>
      </c>
      <c r="E132" s="59" t="s">
        <v>151</v>
      </c>
      <c r="F132" s="60">
        <f t="shared" si="6"/>
        <v>164</v>
      </c>
      <c r="G132" s="60" t="str">
        <f>IFERROR(INDEX($A$2:$A$226,MATCH(ROWS($F$2:F132),$F$2:$F$226,0)),"")</f>
        <v>PORTALES</v>
      </c>
      <c r="H132" s="61">
        <f>IF(ISERROR(SEARCH(Cover!$C$4,$G132)),0,1)</f>
        <v>1</v>
      </c>
      <c r="I132" s="61">
        <f>IF($H132=0,"",COUNTIF($H$2:H132,1))</f>
        <v>131</v>
      </c>
      <c r="J132" s="61" t="str">
        <f t="shared" si="7"/>
        <v>PORTALES</v>
      </c>
      <c r="K132" s="61" t="str">
        <f t="shared" si="8"/>
        <v>District</v>
      </c>
    </row>
    <row r="133" spans="1:11" x14ac:dyDescent="0.25">
      <c r="A133" s="59" t="s">
        <v>148</v>
      </c>
      <c r="B133" s="59" t="s">
        <v>150</v>
      </c>
      <c r="C133" s="59" t="s">
        <v>107</v>
      </c>
      <c r="D133" s="59" t="s">
        <v>151</v>
      </c>
      <c r="E133" s="59" t="s">
        <v>695</v>
      </c>
      <c r="F133" s="60">
        <f t="shared" si="6"/>
        <v>17</v>
      </c>
      <c r="G133" s="60" t="str">
        <f>IFERROR(INDEX($A$2:$A$226,MATCH(ROWS($F$2:F133),$F$2:$F$226,0)),"")</f>
        <v>QUEMADO</v>
      </c>
      <c r="H133" s="61">
        <f>IF(ISERROR(SEARCH(Cover!$C$4,$G133)),0,1)</f>
        <v>1</v>
      </c>
      <c r="I133" s="61">
        <f>IF($H133=0,"",COUNTIF($H$2:H133,1))</f>
        <v>132</v>
      </c>
      <c r="J133" s="61" t="str">
        <f t="shared" si="7"/>
        <v>QUEMADO</v>
      </c>
      <c r="K133" s="61" t="str">
        <f t="shared" si="8"/>
        <v>Local Charter</v>
      </c>
    </row>
    <row r="134" spans="1:11" x14ac:dyDescent="0.25">
      <c r="A134" s="59" t="s">
        <v>461</v>
      </c>
      <c r="B134" s="59" t="s">
        <v>462</v>
      </c>
      <c r="C134" s="59" t="s">
        <v>107</v>
      </c>
      <c r="D134" s="59" t="s">
        <v>151</v>
      </c>
      <c r="E134" s="59" t="s">
        <v>696</v>
      </c>
      <c r="F134" s="60">
        <f t="shared" si="6"/>
        <v>168</v>
      </c>
      <c r="G134" s="60" t="str">
        <f>IFERROR(INDEX($A$2:$A$226,MATCH(ROWS($F$2:F134),$F$2:$F$226,0)),"")</f>
        <v>QUESTA</v>
      </c>
      <c r="H134" s="61">
        <f>IF(ISERROR(SEARCH(Cover!$C$4,$G134)),0,1)</f>
        <v>1</v>
      </c>
      <c r="I134" s="61">
        <f>IF($H134=0,"",COUNTIF($H$2:H134,1))</f>
        <v>133</v>
      </c>
      <c r="J134" s="61" t="str">
        <f t="shared" si="7"/>
        <v>QUESTA</v>
      </c>
      <c r="K134" s="61" t="str">
        <f t="shared" si="8"/>
        <v>Local Charter</v>
      </c>
    </row>
    <row r="135" spans="1:11" x14ac:dyDescent="0.25">
      <c r="A135" s="59" t="s">
        <v>490</v>
      </c>
      <c r="B135" s="59" t="s">
        <v>781</v>
      </c>
      <c r="C135" s="59" t="s">
        <v>114</v>
      </c>
      <c r="D135" s="59" t="s">
        <v>151</v>
      </c>
      <c r="E135" s="59" t="s">
        <v>697</v>
      </c>
      <c r="F135" s="60">
        <f t="shared" si="6"/>
        <v>184</v>
      </c>
      <c r="G135" s="60" t="str">
        <f>IFERROR(INDEX($A$2:$A$226,MATCH(ROWS($F$2:F135),$F$2:$F$226,0)),"")</f>
        <v>RAICES DEL SABER XINACHTLI</v>
      </c>
      <c r="H135" s="61">
        <f>IF(ISERROR(SEARCH(Cover!$C$4,$G135)),0,1)</f>
        <v>1</v>
      </c>
      <c r="I135" s="61">
        <f>IF($H135=0,"",COUNTIF($H$2:H135,1))</f>
        <v>134</v>
      </c>
      <c r="J135" s="61" t="str">
        <f t="shared" si="7"/>
        <v>RAICES DEL SABER XINACHTLI</v>
      </c>
      <c r="K135" s="61" t="str">
        <f t="shared" si="8"/>
        <v>State Charter</v>
      </c>
    </row>
    <row r="136" spans="1:11" x14ac:dyDescent="0.25">
      <c r="A136" s="59"/>
      <c r="B136" s="59"/>
      <c r="C136" s="59"/>
      <c r="D136" s="59"/>
      <c r="E136" s="59" t="s">
        <v>612</v>
      </c>
      <c r="F136" s="60">
        <f t="shared" si="6"/>
        <v>0</v>
      </c>
      <c r="G136" s="60" t="str">
        <f>IFERROR(INDEX($A$2:$A$226,MATCH(ROWS($F$2:F136),$F$2:$F$226,0)),"")</f>
        <v>RATON</v>
      </c>
      <c r="H136" s="61">
        <f>IF(ISERROR(SEARCH(Cover!$C$4,$G136)),0,1)</f>
        <v>1</v>
      </c>
      <c r="I136" s="61">
        <f>IF($H136=0,"",COUNTIF($H$2:H136,1))</f>
        <v>135</v>
      </c>
      <c r="J136" s="61" t="str">
        <f t="shared" si="7"/>
        <v>RATON</v>
      </c>
      <c r="K136" s="61" t="str">
        <f t="shared" si="8"/>
        <v/>
      </c>
    </row>
    <row r="137" spans="1:11" x14ac:dyDescent="0.25">
      <c r="A137" s="59" t="s">
        <v>463</v>
      </c>
      <c r="B137" s="59" t="s">
        <v>464</v>
      </c>
      <c r="C137" s="59" t="s">
        <v>120</v>
      </c>
      <c r="D137" s="59" t="s">
        <v>465</v>
      </c>
      <c r="E137" s="59" t="s">
        <v>698</v>
      </c>
      <c r="F137" s="60">
        <f t="shared" si="6"/>
        <v>169</v>
      </c>
      <c r="G137" s="60" t="str">
        <f>IFERROR(INDEX($A$2:$A$226,MATCH(ROWS($F$2:F137),$F$2:$F$226,0)),"")</f>
        <v>RED RIVER VALLEY</v>
      </c>
      <c r="H137" s="61">
        <f>IF(ISERROR(SEARCH(Cover!$C$4,$G137)),0,1)</f>
        <v>1</v>
      </c>
      <c r="I137" s="61">
        <f>IF($H137=0,"",COUNTIF($H$2:H137,1))</f>
        <v>136</v>
      </c>
      <c r="J137" s="61" t="str">
        <f t="shared" si="7"/>
        <v>RED RIVER VALLEY</v>
      </c>
      <c r="K137" s="61" t="str">
        <f t="shared" si="8"/>
        <v>District</v>
      </c>
    </row>
    <row r="138" spans="1:11" x14ac:dyDescent="0.25">
      <c r="A138" s="59" t="s">
        <v>468</v>
      </c>
      <c r="B138" s="59" t="s">
        <v>469</v>
      </c>
      <c r="C138" s="59" t="s">
        <v>120</v>
      </c>
      <c r="D138" s="59" t="s">
        <v>470</v>
      </c>
      <c r="E138" s="59" t="s">
        <v>699</v>
      </c>
      <c r="F138" s="60">
        <f t="shared" si="6"/>
        <v>171</v>
      </c>
      <c r="G138" s="60" t="str">
        <f>IFERROR(INDEX($A$2:$A$226,MATCH(ROWS($F$2:F138),$F$2:$F$226,0)),"")</f>
        <v>RESERVE</v>
      </c>
      <c r="H138" s="61">
        <f>IF(ISERROR(SEARCH(Cover!$C$4,$G138)),0,1)</f>
        <v>1</v>
      </c>
      <c r="I138" s="61">
        <f>IF($H138=0,"",COUNTIF($H$2:H138,1))</f>
        <v>137</v>
      </c>
      <c r="J138" s="61" t="str">
        <f t="shared" si="7"/>
        <v>RESERVE</v>
      </c>
      <c r="K138" s="61" t="str">
        <f t="shared" si="8"/>
        <v>District</v>
      </c>
    </row>
    <row r="139" spans="1:11" x14ac:dyDescent="0.25">
      <c r="A139" s="59" t="s">
        <v>476</v>
      </c>
      <c r="B139" s="59" t="s">
        <v>477</v>
      </c>
      <c r="C139" s="59" t="s">
        <v>120</v>
      </c>
      <c r="D139" s="59" t="s">
        <v>478</v>
      </c>
      <c r="E139" s="59" t="s">
        <v>700</v>
      </c>
      <c r="F139" s="60">
        <f t="shared" si="6"/>
        <v>177</v>
      </c>
      <c r="G139" s="60" t="str">
        <f>IFERROR(INDEX($A$2:$A$226,MATCH(ROWS($F$2:F139),$F$2:$F$226,0)),"")</f>
        <v>RIO GALLINAS CHARTER SCHOOL</v>
      </c>
      <c r="H139" s="61">
        <f>IF(ISERROR(SEARCH(Cover!$C$4,$G139)),0,1)</f>
        <v>1</v>
      </c>
      <c r="I139" s="61">
        <f>IF($H139=0,"",COUNTIF($H$2:H139,1))</f>
        <v>138</v>
      </c>
      <c r="J139" s="61" t="str">
        <f t="shared" si="7"/>
        <v>RIO GALLINAS CHARTER SCHOOL</v>
      </c>
      <c r="K139" s="61" t="str">
        <f t="shared" si="8"/>
        <v>District</v>
      </c>
    </row>
    <row r="140" spans="1:11" x14ac:dyDescent="0.25">
      <c r="A140" s="59" t="s">
        <v>479</v>
      </c>
      <c r="B140" s="59" t="s">
        <v>480</v>
      </c>
      <c r="C140" s="59" t="s">
        <v>120</v>
      </c>
      <c r="D140" s="59" t="s">
        <v>431</v>
      </c>
      <c r="E140" s="59" t="s">
        <v>701</v>
      </c>
      <c r="F140" s="60">
        <f t="shared" si="6"/>
        <v>178</v>
      </c>
      <c r="G140" s="60" t="str">
        <f>IFERROR(INDEX($A$2:$A$226,MATCH(ROWS($F$2:F140),$F$2:$F$226,0)),"")</f>
        <v>RIO GRANDE ACADEMY OF FINE ARTS</v>
      </c>
      <c r="H140" s="61">
        <f>IF(ISERROR(SEARCH(Cover!$C$4,$G140)),0,1)</f>
        <v>1</v>
      </c>
      <c r="I140" s="61">
        <f>IF($H140=0,"",COUNTIF($H$2:H140,1))</f>
        <v>139</v>
      </c>
      <c r="J140" s="61" t="str">
        <f t="shared" si="7"/>
        <v>RIO GRANDE ACADEMY OF FINE ARTS</v>
      </c>
      <c r="K140" s="61" t="str">
        <f t="shared" si="8"/>
        <v>District</v>
      </c>
    </row>
    <row r="141" spans="1:11" x14ac:dyDescent="0.25">
      <c r="A141" s="59" t="s">
        <v>481</v>
      </c>
      <c r="B141" s="59" t="s">
        <v>482</v>
      </c>
      <c r="C141" s="59" t="s">
        <v>120</v>
      </c>
      <c r="D141" s="59" t="s">
        <v>121</v>
      </c>
      <c r="E141" s="59" t="s">
        <v>702</v>
      </c>
      <c r="F141" s="60">
        <f t="shared" si="6"/>
        <v>179</v>
      </c>
      <c r="G141" s="60" t="str">
        <f>IFERROR(INDEX($A$2:$A$226,MATCH(ROWS($F$2:F141),$F$2:$F$226,0)),"")</f>
        <v>RIO RANCHO</v>
      </c>
      <c r="H141" s="61">
        <f>IF(ISERROR(SEARCH(Cover!$C$4,$G141)),0,1)</f>
        <v>1</v>
      </c>
      <c r="I141" s="61">
        <f>IF($H141=0,"",COUNTIF($H$2:H141,1))</f>
        <v>140</v>
      </c>
      <c r="J141" s="61" t="str">
        <f t="shared" si="7"/>
        <v>RIO RANCHO</v>
      </c>
      <c r="K141" s="61" t="str">
        <f t="shared" si="8"/>
        <v>District</v>
      </c>
    </row>
    <row r="142" spans="1:11" x14ac:dyDescent="0.25">
      <c r="A142" s="59" t="s">
        <v>487</v>
      </c>
      <c r="B142" s="59" t="s">
        <v>488</v>
      </c>
      <c r="C142" s="59" t="s">
        <v>120</v>
      </c>
      <c r="D142" s="59" t="s">
        <v>489</v>
      </c>
      <c r="E142" s="59" t="s">
        <v>703</v>
      </c>
      <c r="F142" s="60">
        <f t="shared" si="6"/>
        <v>183</v>
      </c>
      <c r="G142" s="60" t="str">
        <f>IFERROR(INDEX($A$2:$A$226,MATCH(ROWS($F$2:F142),$F$2:$F$226,0)),"")</f>
        <v>ROBERT F. KENNEDY</v>
      </c>
      <c r="H142" s="61">
        <f>IF(ISERROR(SEARCH(Cover!$C$4,$G142)),0,1)</f>
        <v>1</v>
      </c>
      <c r="I142" s="61">
        <f>IF($H142=0,"",COUNTIF($H$2:H142,1))</f>
        <v>141</v>
      </c>
      <c r="J142" s="61" t="str">
        <f t="shared" si="7"/>
        <v>ROBERT F. KENNEDY</v>
      </c>
      <c r="K142" s="61" t="str">
        <f t="shared" si="8"/>
        <v>District</v>
      </c>
    </row>
    <row r="143" spans="1:11" x14ac:dyDescent="0.25">
      <c r="A143" s="59" t="s">
        <v>491</v>
      </c>
      <c r="B143" s="59" t="s">
        <v>492</v>
      </c>
      <c r="C143" s="59" t="s">
        <v>120</v>
      </c>
      <c r="D143" s="59" t="s">
        <v>363</v>
      </c>
      <c r="E143" s="59" t="s">
        <v>704</v>
      </c>
      <c r="F143" s="60">
        <f t="shared" si="6"/>
        <v>186</v>
      </c>
      <c r="G143" s="60" t="str">
        <f>IFERROR(INDEX($A$2:$A$226,MATCH(ROWS($F$2:F143),$F$2:$F$226,0)),"")</f>
        <v>ROOTS &amp; WINGS</v>
      </c>
      <c r="H143" s="61">
        <f>IF(ISERROR(SEARCH(Cover!$C$4,$G143)),0,1)</f>
        <v>1</v>
      </c>
      <c r="I143" s="61">
        <f>IF($H143=0,"",COUNTIF($H$2:H143,1))</f>
        <v>142</v>
      </c>
      <c r="J143" s="61" t="str">
        <f t="shared" si="7"/>
        <v>ROOTS &amp; WINGS</v>
      </c>
      <c r="K143" s="61" t="str">
        <f t="shared" si="8"/>
        <v>District</v>
      </c>
    </row>
    <row r="144" spans="1:11" x14ac:dyDescent="0.25">
      <c r="A144" s="59" t="s">
        <v>415</v>
      </c>
      <c r="B144" s="59" t="s">
        <v>495</v>
      </c>
      <c r="C144" s="59" t="s">
        <v>120</v>
      </c>
      <c r="D144" s="59" t="s">
        <v>394</v>
      </c>
      <c r="E144" s="59" t="s">
        <v>705</v>
      </c>
      <c r="F144" s="60">
        <f t="shared" si="6"/>
        <v>188</v>
      </c>
      <c r="G144" s="60" t="str">
        <f>IFERROR(INDEX($A$2:$A$226,MATCH(ROWS($F$2:F144),$F$2:$F$226,0)),"")</f>
        <v>ROSWELL</v>
      </c>
      <c r="H144" s="61">
        <f>IF(ISERROR(SEARCH(Cover!$C$4,$G144)),0,1)</f>
        <v>1</v>
      </c>
      <c r="I144" s="61">
        <f>IF($H144=0,"",COUNTIF($H$2:H144,1))</f>
        <v>143</v>
      </c>
      <c r="J144" s="61" t="str">
        <f t="shared" si="7"/>
        <v>ROSWELL</v>
      </c>
      <c r="K144" s="61" t="str">
        <f t="shared" si="8"/>
        <v>District</v>
      </c>
    </row>
    <row r="145" spans="1:11" x14ac:dyDescent="0.25">
      <c r="A145" s="59" t="s">
        <v>414</v>
      </c>
      <c r="B145" s="59" t="s">
        <v>416</v>
      </c>
      <c r="C145" s="59" t="s">
        <v>107</v>
      </c>
      <c r="D145" s="59" t="s">
        <v>394</v>
      </c>
      <c r="E145" s="59" t="s">
        <v>706</v>
      </c>
      <c r="F145" s="60">
        <f t="shared" si="6"/>
        <v>138</v>
      </c>
      <c r="G145" s="60" t="str">
        <f>IFERROR(INDEX($A$2:$A$226,MATCH(ROWS($F$2:F145),$F$2:$F$226,0)),"")</f>
        <v>ROY</v>
      </c>
      <c r="H145" s="61">
        <f>IF(ISERROR(SEARCH(Cover!$C$4,$G145)),0,1)</f>
        <v>1</v>
      </c>
      <c r="I145" s="61">
        <f>IF($H145=0,"",COUNTIF($H$2:H145,1))</f>
        <v>144</v>
      </c>
      <c r="J145" s="61" t="str">
        <f t="shared" si="7"/>
        <v>ROY</v>
      </c>
      <c r="K145" s="61" t="str">
        <f t="shared" si="8"/>
        <v>Local Charter</v>
      </c>
    </row>
    <row r="146" spans="1:11" x14ac:dyDescent="0.25">
      <c r="A146" s="59"/>
      <c r="B146" s="59"/>
      <c r="C146" s="59"/>
      <c r="D146" s="59"/>
      <c r="E146" s="59" t="s">
        <v>612</v>
      </c>
      <c r="F146" s="60">
        <f t="shared" si="6"/>
        <v>0</v>
      </c>
      <c r="G146" s="60" t="str">
        <f>IFERROR(INDEX($A$2:$A$226,MATCH(ROWS($F$2:F146),$F$2:$F$226,0)),"")</f>
        <v>RUIDOSO</v>
      </c>
      <c r="H146" s="61">
        <f>IF(ISERROR(SEARCH(Cover!$C$4,$G146)),0,1)</f>
        <v>1</v>
      </c>
      <c r="I146" s="61">
        <f>IF($H146=0,"",COUNTIF($H$2:H146,1))</f>
        <v>145</v>
      </c>
      <c r="J146" s="61" t="str">
        <f t="shared" si="7"/>
        <v>RUIDOSO</v>
      </c>
      <c r="K146" s="61" t="str">
        <f t="shared" si="8"/>
        <v/>
      </c>
    </row>
    <row r="147" spans="1:11" x14ac:dyDescent="0.25">
      <c r="A147" s="59" t="s">
        <v>498</v>
      </c>
      <c r="B147" s="59" t="s">
        <v>499</v>
      </c>
      <c r="C147" s="59" t="s">
        <v>120</v>
      </c>
      <c r="D147" s="59" t="s">
        <v>274</v>
      </c>
      <c r="E147" s="59" t="s">
        <v>707</v>
      </c>
      <c r="F147" s="60">
        <f t="shared" si="6"/>
        <v>190</v>
      </c>
      <c r="G147" s="60" t="str">
        <f>IFERROR(INDEX($A$2:$A$226,MATCH(ROWS($F$2:F147),$F$2:$F$226,0)),"")</f>
        <v>SAN DIEGO RIVERSIDE CHARTER</v>
      </c>
      <c r="H147" s="61">
        <f>IF(ISERROR(SEARCH(Cover!$C$4,$G147)),0,1)</f>
        <v>1</v>
      </c>
      <c r="I147" s="61">
        <f>IF($H147=0,"",COUNTIF($H$2:H147,1))</f>
        <v>146</v>
      </c>
      <c r="J147" s="61" t="str">
        <f t="shared" si="7"/>
        <v>SAN DIEGO RIVERSIDE CHARTER</v>
      </c>
      <c r="K147" s="61" t="str">
        <f t="shared" si="8"/>
        <v>District</v>
      </c>
    </row>
    <row r="148" spans="1:11" x14ac:dyDescent="0.25">
      <c r="A148" s="59"/>
      <c r="B148" s="59"/>
      <c r="C148" s="59"/>
      <c r="D148" s="59"/>
      <c r="E148" s="59" t="s">
        <v>612</v>
      </c>
      <c r="F148" s="60">
        <f t="shared" si="6"/>
        <v>0</v>
      </c>
      <c r="G148" s="60" t="str">
        <f>IFERROR(INDEX($A$2:$A$226,MATCH(ROWS($F$2:F148),$F$2:$F$226,0)),"")</f>
        <v>SAN JON</v>
      </c>
      <c r="H148" s="61">
        <f>IF(ISERROR(SEARCH(Cover!$C$4,$G148)),0,1)</f>
        <v>1</v>
      </c>
      <c r="I148" s="61">
        <f>IF($H148=0,"",COUNTIF($H$2:H148,1))</f>
        <v>147</v>
      </c>
      <c r="J148" s="61" t="str">
        <f t="shared" si="7"/>
        <v>SAN JON</v>
      </c>
      <c r="K148" s="61" t="str">
        <f t="shared" si="8"/>
        <v/>
      </c>
    </row>
    <row r="149" spans="1:11" x14ac:dyDescent="0.25">
      <c r="A149" s="59" t="s">
        <v>112</v>
      </c>
      <c r="B149" s="59" t="s">
        <v>113</v>
      </c>
      <c r="C149" s="59" t="s">
        <v>114</v>
      </c>
      <c r="D149" s="59" t="s">
        <v>115</v>
      </c>
      <c r="E149" s="59" t="s">
        <v>708</v>
      </c>
      <c r="F149" s="60">
        <f t="shared" si="6"/>
        <v>3</v>
      </c>
      <c r="G149" s="60" t="str">
        <f>IFERROR(INDEX($A$2:$A$226,MATCH(ROWS($F$2:F149),$F$2:$F$226,0)),"")</f>
        <v>SANDOVAL ACADEMY OF BIL ED SABE</v>
      </c>
      <c r="H149" s="61">
        <f>IF(ISERROR(SEARCH(Cover!$C$4,$G149)),0,1)</f>
        <v>1</v>
      </c>
      <c r="I149" s="61">
        <f>IF($H149=0,"",COUNTIF($H$2:H149,1))</f>
        <v>148</v>
      </c>
      <c r="J149" s="61" t="str">
        <f t="shared" si="7"/>
        <v>SANDOVAL ACADEMY OF BIL ED SABE</v>
      </c>
      <c r="K149" s="61" t="str">
        <f t="shared" si="8"/>
        <v>State Charter</v>
      </c>
    </row>
    <row r="150" spans="1:11" x14ac:dyDescent="0.25">
      <c r="A150" s="59" t="s">
        <v>124</v>
      </c>
      <c r="B150" s="59" t="s">
        <v>125</v>
      </c>
      <c r="C150" s="59" t="s">
        <v>114</v>
      </c>
      <c r="D150" s="59" t="s">
        <v>115</v>
      </c>
      <c r="E150" s="59" t="s">
        <v>709</v>
      </c>
      <c r="F150" s="60">
        <f t="shared" si="6"/>
        <v>7</v>
      </c>
      <c r="G150" s="60" t="str">
        <f>IFERROR(INDEX($A$2:$A$226,MATCH(ROWS($F$2:F150),$F$2:$F$226,0)),"")</f>
        <v>SANTA FE</v>
      </c>
      <c r="H150" s="61">
        <f>IF(ISERROR(SEARCH(Cover!$C$4,$G150)),0,1)</f>
        <v>1</v>
      </c>
      <c r="I150" s="61">
        <f>IF($H150=0,"",COUNTIF($H$2:H150,1))</f>
        <v>149</v>
      </c>
      <c r="J150" s="61" t="str">
        <f t="shared" si="7"/>
        <v>SANTA FE</v>
      </c>
      <c r="K150" s="61" t="str">
        <f t="shared" si="8"/>
        <v>State Charter</v>
      </c>
    </row>
    <row r="151" spans="1:11" x14ac:dyDescent="0.25">
      <c r="A151" s="59" t="s">
        <v>128</v>
      </c>
      <c r="B151" s="59" t="s">
        <v>129</v>
      </c>
      <c r="C151" s="59" t="s">
        <v>114</v>
      </c>
      <c r="D151" s="59" t="s">
        <v>115</v>
      </c>
      <c r="E151" s="59" t="s">
        <v>710</v>
      </c>
      <c r="F151" s="60">
        <f t="shared" si="6"/>
        <v>9</v>
      </c>
      <c r="G151" s="60" t="str">
        <f>IFERROR(INDEX($A$2:$A$226,MATCH(ROWS($F$2:F151),$F$2:$F$226,0)),"")</f>
        <v>SANTA ROSA</v>
      </c>
      <c r="H151" s="61">
        <f>IF(ISERROR(SEARCH(Cover!$C$4,$G151)),0,1)</f>
        <v>1</v>
      </c>
      <c r="I151" s="61">
        <f>IF($H151=0,"",COUNTIF($H$2:H151,1))</f>
        <v>150</v>
      </c>
      <c r="J151" s="61" t="str">
        <f t="shared" si="7"/>
        <v>SANTA ROSA</v>
      </c>
      <c r="K151" s="61" t="str">
        <f t="shared" si="8"/>
        <v>State Charter</v>
      </c>
    </row>
    <row r="152" spans="1:11" x14ac:dyDescent="0.25">
      <c r="A152" s="59" t="s">
        <v>116</v>
      </c>
      <c r="B152" s="59" t="s">
        <v>117</v>
      </c>
      <c r="C152" s="59" t="s">
        <v>114</v>
      </c>
      <c r="D152" s="59" t="s">
        <v>115</v>
      </c>
      <c r="E152" s="59" t="s">
        <v>711</v>
      </c>
      <c r="F152" s="60">
        <f t="shared" si="6"/>
        <v>4</v>
      </c>
      <c r="G152" s="60" t="str">
        <f>IFERROR(INDEX($A$2:$A$226,MATCH(ROWS($F$2:F152),$F$2:$F$226,0)),"")</f>
        <v>SCHOOL OF DREAMS ST. CHARTER</v>
      </c>
      <c r="H152" s="61">
        <f>IF(ISERROR(SEARCH(Cover!$C$4,$G152)),0,1)</f>
        <v>1</v>
      </c>
      <c r="I152" s="61">
        <f>IF($H152=0,"",COUNTIF($H$2:H152,1))</f>
        <v>151</v>
      </c>
      <c r="J152" s="61" t="str">
        <f t="shared" si="7"/>
        <v>SCHOOL OF DREAMS ST. CHARTER</v>
      </c>
      <c r="K152" s="61" t="str">
        <f t="shared" si="8"/>
        <v>State Charter</v>
      </c>
    </row>
    <row r="153" spans="1:11" x14ac:dyDescent="0.25">
      <c r="A153" s="59" t="s">
        <v>130</v>
      </c>
      <c r="B153" s="59" t="s">
        <v>131</v>
      </c>
      <c r="C153" s="59" t="s">
        <v>114</v>
      </c>
      <c r="D153" s="59" t="s">
        <v>115</v>
      </c>
      <c r="E153" s="59" t="s">
        <v>712</v>
      </c>
      <c r="F153" s="60">
        <f t="shared" si="6"/>
        <v>10</v>
      </c>
      <c r="G153" s="60" t="str">
        <f>IFERROR(INDEX($A$2:$A$226,MATCH(ROWS($F$2:F153),$F$2:$F$226,0)),"")</f>
        <v>SIDNEY GUTIERREZ</v>
      </c>
      <c r="H153" s="61">
        <f>IF(ISERROR(SEARCH(Cover!$C$4,$G153)),0,1)</f>
        <v>1</v>
      </c>
      <c r="I153" s="61">
        <f>IF($H153=0,"",COUNTIF($H$2:H153,1))</f>
        <v>152</v>
      </c>
      <c r="J153" s="61" t="str">
        <f t="shared" si="7"/>
        <v>SIDNEY GUTIERREZ</v>
      </c>
      <c r="K153" s="61" t="str">
        <f t="shared" si="8"/>
        <v>State Charter</v>
      </c>
    </row>
    <row r="154" spans="1:11" x14ac:dyDescent="0.25">
      <c r="A154" s="59" t="s">
        <v>132</v>
      </c>
      <c r="B154" s="59" t="s">
        <v>133</v>
      </c>
      <c r="C154" s="59" t="s">
        <v>114</v>
      </c>
      <c r="D154" s="59" t="s">
        <v>115</v>
      </c>
      <c r="E154" s="59" t="s">
        <v>713</v>
      </c>
      <c r="F154" s="60">
        <f t="shared" si="6"/>
        <v>11</v>
      </c>
      <c r="G154" s="60" t="str">
        <f>IFERROR(INDEX($A$2:$A$226,MATCH(ROWS($F$2:F154),$F$2:$F$226,0)),"")</f>
        <v>SIEMBRA LEADERSHIP HIGH SCHOOL</v>
      </c>
      <c r="H154" s="61">
        <f>IF(ISERROR(SEARCH(Cover!$C$4,$G154)),0,1)</f>
        <v>1</v>
      </c>
      <c r="I154" s="61">
        <f>IF($H154=0,"",COUNTIF($H$2:H154,1))</f>
        <v>153</v>
      </c>
      <c r="J154" s="61" t="str">
        <f t="shared" si="7"/>
        <v>SIEMBRA LEADERSHIP HIGH SCHOOL</v>
      </c>
      <c r="K154" s="61" t="str">
        <f t="shared" si="8"/>
        <v>State Charter</v>
      </c>
    </row>
    <row r="155" spans="1:11" x14ac:dyDescent="0.25">
      <c r="A155" s="59" t="s">
        <v>134</v>
      </c>
      <c r="B155" s="59" t="s">
        <v>136</v>
      </c>
      <c r="C155" s="59" t="s">
        <v>114</v>
      </c>
      <c r="D155" s="59" t="s">
        <v>137</v>
      </c>
      <c r="E155" s="59" t="s">
        <v>714</v>
      </c>
      <c r="F155" s="60">
        <f t="shared" si="6"/>
        <v>12</v>
      </c>
      <c r="G155" s="60" t="str">
        <f>IFERROR(INDEX($A$2:$A$226,MATCH(ROWS($F$2:F155),$F$2:$F$226,0)),"")</f>
        <v>SILVER CITY CONS.</v>
      </c>
      <c r="H155" s="61">
        <f>IF(ISERROR(SEARCH(Cover!$C$4,$G155)),0,1)</f>
        <v>1</v>
      </c>
      <c r="I155" s="61">
        <f>IF($H155=0,"",COUNTIF($H$2:H155,1))</f>
        <v>154</v>
      </c>
      <c r="J155" s="61" t="str">
        <f t="shared" si="7"/>
        <v>SILVER CITY CONS.</v>
      </c>
      <c r="K155" s="61" t="str">
        <f t="shared" si="8"/>
        <v>State Charter</v>
      </c>
    </row>
    <row r="156" spans="1:11" x14ac:dyDescent="0.25">
      <c r="A156" s="59" t="s">
        <v>140</v>
      </c>
      <c r="B156" s="59" t="s">
        <v>142</v>
      </c>
      <c r="C156" s="59" t="s">
        <v>114</v>
      </c>
      <c r="D156" s="59" t="s">
        <v>143</v>
      </c>
      <c r="E156" s="59" t="s">
        <v>715</v>
      </c>
      <c r="F156" s="60">
        <f t="shared" si="6"/>
        <v>14</v>
      </c>
      <c r="G156" s="60" t="str">
        <f>IFERROR(INDEX($A$2:$A$226,MATCH(ROWS($F$2:F156),$F$2:$F$226,0)),"")</f>
        <v>SIX DIRECTIONS</v>
      </c>
      <c r="H156" s="61">
        <f>IF(ISERROR(SEARCH(Cover!$C$4,$G156)),0,1)</f>
        <v>1</v>
      </c>
      <c r="I156" s="61">
        <f>IF($H156=0,"",COUNTIF($H$2:H156,1))</f>
        <v>155</v>
      </c>
      <c r="J156" s="61" t="str">
        <f t="shared" si="7"/>
        <v>SIX DIRECTIONS</v>
      </c>
      <c r="K156" s="61" t="str">
        <f t="shared" si="8"/>
        <v>State Charter</v>
      </c>
    </row>
    <row r="157" spans="1:11" x14ac:dyDescent="0.25">
      <c r="A157" s="59" t="s">
        <v>144</v>
      </c>
      <c r="B157" s="59" t="s">
        <v>145</v>
      </c>
      <c r="C157" s="59" t="s">
        <v>114</v>
      </c>
      <c r="D157" s="59" t="s">
        <v>115</v>
      </c>
      <c r="E157" s="59" t="s">
        <v>716</v>
      </c>
      <c r="F157" s="60">
        <f t="shared" si="6"/>
        <v>15</v>
      </c>
      <c r="G157" s="60" t="str">
        <f>IFERROR(INDEX($A$2:$A$226,MATCH(ROWS($F$2:F157),$F$2:$F$226,0)),"")</f>
        <v>SOCORRO</v>
      </c>
      <c r="H157" s="61">
        <f>IF(ISERROR(SEARCH(Cover!$C$4,$G157)),0,1)</f>
        <v>1</v>
      </c>
      <c r="I157" s="61">
        <f>IF($H157=0,"",COUNTIF($H$2:H157,1))</f>
        <v>156</v>
      </c>
      <c r="J157" s="61" t="str">
        <f t="shared" si="7"/>
        <v>SOCORRO</v>
      </c>
      <c r="K157" s="61" t="str">
        <f t="shared" si="8"/>
        <v>State Charter</v>
      </c>
    </row>
    <row r="158" spans="1:11" x14ac:dyDescent="0.25">
      <c r="A158" s="59" t="s">
        <v>146</v>
      </c>
      <c r="B158" s="59" t="s">
        <v>147</v>
      </c>
      <c r="C158" s="59" t="s">
        <v>114</v>
      </c>
      <c r="D158" s="59" t="s">
        <v>115</v>
      </c>
      <c r="E158" s="59" t="s">
        <v>717</v>
      </c>
      <c r="F158" s="60">
        <f t="shared" si="6"/>
        <v>16</v>
      </c>
      <c r="G158" s="60" t="str">
        <f>IFERROR(INDEX($A$2:$A$226,MATCH(ROWS($F$2:F158),$F$2:$F$226,0)),"")</f>
        <v>SOLARE COLLEGIATE</v>
      </c>
      <c r="H158" s="61">
        <f>IF(ISERROR(SEARCH(Cover!$C$4,$G158)),0,1)</f>
        <v>1</v>
      </c>
      <c r="I158" s="61">
        <f>IF($H158=0,"",COUNTIF($H$2:H158,1))</f>
        <v>157</v>
      </c>
      <c r="J158" s="61" t="str">
        <f t="shared" si="7"/>
        <v>SOLARE COLLEGIATE</v>
      </c>
      <c r="K158" s="61" t="str">
        <f t="shared" si="8"/>
        <v>State Charter</v>
      </c>
    </row>
    <row r="159" spans="1:11" x14ac:dyDescent="0.25">
      <c r="A159" s="59" t="s">
        <v>158</v>
      </c>
      <c r="B159" s="59" t="s">
        <v>160</v>
      </c>
      <c r="C159" s="59" t="s">
        <v>114</v>
      </c>
      <c r="D159" s="59" t="s">
        <v>161</v>
      </c>
      <c r="E159" s="59" t="s">
        <v>718</v>
      </c>
      <c r="F159" s="60">
        <f t="shared" si="6"/>
        <v>20</v>
      </c>
      <c r="G159" s="60" t="str">
        <f>IFERROR(INDEX($A$2:$A$226,MATCH(ROWS($F$2:F159),$F$2:$F$226,0)),"")</f>
        <v>SOUTH VALLEY</v>
      </c>
      <c r="H159" s="61">
        <f>IF(ISERROR(SEARCH(Cover!$C$4,$G159)),0,1)</f>
        <v>1</v>
      </c>
      <c r="I159" s="61">
        <f>IF($H159=0,"",COUNTIF($H$2:H159,1))</f>
        <v>158</v>
      </c>
      <c r="J159" s="61" t="str">
        <f t="shared" si="7"/>
        <v>SOUTH VALLEY</v>
      </c>
      <c r="K159" s="61" t="str">
        <f t="shared" si="8"/>
        <v>State Charter</v>
      </c>
    </row>
    <row r="160" spans="1:11" x14ac:dyDescent="0.25">
      <c r="A160" s="59" t="s">
        <v>183</v>
      </c>
      <c r="B160" s="59" t="s">
        <v>184</v>
      </c>
      <c r="C160" s="59" t="s">
        <v>114</v>
      </c>
      <c r="D160" s="59" t="s">
        <v>115</v>
      </c>
      <c r="E160" s="59" t="s">
        <v>719</v>
      </c>
      <c r="F160" s="60">
        <f t="shared" si="6"/>
        <v>29</v>
      </c>
      <c r="G160" s="60" t="str">
        <f>IFERROR(INDEX($A$2:$A$226,MATCH(ROWS($F$2:F160),$F$2:$F$226,0)),"")</f>
        <v>SOUTH VALLEY PREP ST. CHARTER</v>
      </c>
      <c r="H160" s="61">
        <f>IF(ISERROR(SEARCH(Cover!$C$4,$G160)),0,1)</f>
        <v>1</v>
      </c>
      <c r="I160" s="61">
        <f>IF($H160=0,"",COUNTIF($H$2:H160,1))</f>
        <v>159</v>
      </c>
      <c r="J160" s="61" t="str">
        <f t="shared" si="7"/>
        <v>SOUTH VALLEY PREP ST. CHARTER</v>
      </c>
      <c r="K160" s="61" t="str">
        <f t="shared" si="8"/>
        <v>State Charter</v>
      </c>
    </row>
    <row r="161" spans="1:11" x14ac:dyDescent="0.25">
      <c r="A161" s="59" t="s">
        <v>220</v>
      </c>
      <c r="B161" s="59" t="s">
        <v>222</v>
      </c>
      <c r="C161" s="59" t="s">
        <v>114</v>
      </c>
      <c r="D161" s="59" t="s">
        <v>223</v>
      </c>
      <c r="E161" s="59" t="s">
        <v>220</v>
      </c>
      <c r="F161" s="60">
        <f t="shared" si="6"/>
        <v>44</v>
      </c>
      <c r="G161" s="60" t="str">
        <f>IFERROR(INDEX($A$2:$A$226,MATCH(ROWS($F$2:F161),$F$2:$F$226,0)),"")</f>
        <v>SOUTHWEST PREPATORY LEARNING CENTER</v>
      </c>
      <c r="H161" s="61">
        <f>IF(ISERROR(SEARCH(Cover!$C$4,$G161)),0,1)</f>
        <v>1</v>
      </c>
      <c r="I161" s="61">
        <f>IF($H161=0,"",COUNTIF($H$2:H161,1))</f>
        <v>160</v>
      </c>
      <c r="J161" s="61" t="str">
        <f t="shared" si="7"/>
        <v>SOUTHWEST PREPATORY LEARNING CENTER</v>
      </c>
      <c r="K161" s="61" t="str">
        <f t="shared" si="8"/>
        <v>State Charter</v>
      </c>
    </row>
    <row r="162" spans="1:11" x14ac:dyDescent="0.25">
      <c r="A162" s="59" t="s">
        <v>505</v>
      </c>
      <c r="B162" s="59" t="s">
        <v>258</v>
      </c>
      <c r="C162" s="59" t="s">
        <v>114</v>
      </c>
      <c r="D162" s="59" t="s">
        <v>256</v>
      </c>
      <c r="E162" s="59" t="s">
        <v>720</v>
      </c>
      <c r="F162" s="60">
        <f t="shared" si="6"/>
        <v>58</v>
      </c>
      <c r="G162" s="60" t="str">
        <f>IFERROR(INDEX($A$2:$A$226,MATCH(ROWS($F$2:F162),$F$2:$F$226,0)),"")</f>
        <v>SOUTHWEST SECONDARY LEARNING CENTER</v>
      </c>
      <c r="H162" s="61">
        <f>IF(ISERROR(SEARCH(Cover!$C$4,$G162)),0,1)</f>
        <v>1</v>
      </c>
      <c r="I162" s="61">
        <f>IF($H162=0,"",COUNTIF($H$2:H162,1))</f>
        <v>161</v>
      </c>
      <c r="J162" s="61" t="str">
        <f t="shared" si="7"/>
        <v>SOUTHWEST SECONDARY LEARNING CENTER</v>
      </c>
      <c r="K162" s="61" t="str">
        <f t="shared" si="8"/>
        <v>State Charter</v>
      </c>
    </row>
    <row r="163" spans="1:11" x14ac:dyDescent="0.25">
      <c r="A163" s="59" t="s">
        <v>506</v>
      </c>
      <c r="B163" s="59" t="s">
        <v>262</v>
      </c>
      <c r="C163" s="59" t="s">
        <v>114</v>
      </c>
      <c r="D163" s="59" t="s">
        <v>115</v>
      </c>
      <c r="E163" s="59" t="s">
        <v>721</v>
      </c>
      <c r="F163" s="60">
        <f t="shared" si="6"/>
        <v>60</v>
      </c>
      <c r="G163" s="60" t="str">
        <f>IFERROR(INDEX($A$2:$A$226,MATCH(ROWS($F$2:F163),$F$2:$F$226,0)),"")</f>
        <v>SPRINGER</v>
      </c>
      <c r="H163" s="61">
        <f>IF(ISERROR(SEARCH(Cover!$C$4,$G163)),0,1)</f>
        <v>1</v>
      </c>
      <c r="I163" s="61">
        <f>IF($H163=0,"",COUNTIF($H$2:H163,1))</f>
        <v>162</v>
      </c>
      <c r="J163" s="61" t="str">
        <f t="shared" si="7"/>
        <v>SPRINGER</v>
      </c>
      <c r="K163" s="61" t="str">
        <f t="shared" si="8"/>
        <v>State Charter</v>
      </c>
    </row>
    <row r="164" spans="1:11" x14ac:dyDescent="0.25">
      <c r="A164" s="62" t="s">
        <v>507</v>
      </c>
      <c r="B164" s="62" t="s">
        <v>508</v>
      </c>
      <c r="C164" s="63" t="s">
        <v>114</v>
      </c>
      <c r="D164" s="63" t="s">
        <v>143</v>
      </c>
      <c r="E164" s="59" t="s">
        <v>722</v>
      </c>
      <c r="F164" s="60">
        <f t="shared" si="6"/>
        <v>61</v>
      </c>
      <c r="G164" s="60" t="str">
        <f>IFERROR(INDEX($A$2:$A$226,MATCH(ROWS($F$2:F164),$F$2:$F$226,0)),"")</f>
        <v>SW AERONAUTICS, MATHEMATICS AND SCIENCE ACADEMY</v>
      </c>
      <c r="H164" s="61">
        <f>IF(ISERROR(SEARCH(Cover!$C$4,$G164)),0,1)</f>
        <v>1</v>
      </c>
      <c r="I164" s="61">
        <f>IF($H164=0,"",COUNTIF($H$2:H164,1))</f>
        <v>163</v>
      </c>
      <c r="J164" s="61" t="str">
        <f t="shared" si="7"/>
        <v>SW AERONAUTICS, MATHEMATICS AND SCIENCE ACADEMY</v>
      </c>
      <c r="K164" s="61" t="str">
        <f t="shared" si="8"/>
        <v>State Charter</v>
      </c>
    </row>
    <row r="165" spans="1:11" x14ac:dyDescent="0.25">
      <c r="A165" s="59" t="s">
        <v>509</v>
      </c>
      <c r="B165" s="59" t="s">
        <v>295</v>
      </c>
      <c r="C165" s="59" t="s">
        <v>114</v>
      </c>
      <c r="D165" s="59" t="s">
        <v>115</v>
      </c>
      <c r="E165" s="59" t="s">
        <v>723</v>
      </c>
      <c r="F165" s="60">
        <f t="shared" si="6"/>
        <v>76</v>
      </c>
      <c r="G165" s="60" t="str">
        <f>IFERROR(INDEX($A$2:$A$226,MATCH(ROWS($F$2:F165),$F$2:$F$226,0)),"")</f>
        <v>TAOS</v>
      </c>
      <c r="H165" s="61">
        <f>IF(ISERROR(SEARCH(Cover!$C$4,$G165)),0,1)</f>
        <v>1</v>
      </c>
      <c r="I165" s="61">
        <f>IF($H165=0,"",COUNTIF($H$2:H165,1))</f>
        <v>164</v>
      </c>
      <c r="J165" s="61" t="str">
        <f t="shared" si="7"/>
        <v>TAOS</v>
      </c>
      <c r="K165" s="61" t="str">
        <f t="shared" si="8"/>
        <v>State Charter</v>
      </c>
    </row>
    <row r="166" spans="1:11" x14ac:dyDescent="0.25">
      <c r="A166" s="59" t="s">
        <v>510</v>
      </c>
      <c r="B166" s="59" t="s">
        <v>299</v>
      </c>
      <c r="C166" s="59" t="s">
        <v>114</v>
      </c>
      <c r="D166" s="59" t="s">
        <v>223</v>
      </c>
      <c r="E166" s="59" t="s">
        <v>724</v>
      </c>
      <c r="F166" s="60">
        <f t="shared" si="6"/>
        <v>78</v>
      </c>
      <c r="G166" s="60" t="str">
        <f>IFERROR(INDEX($A$2:$A$226,MATCH(ROWS($F$2:F166),$F$2:$F$226,0)),"")</f>
        <v>TAOS ACADEMY</v>
      </c>
      <c r="H166" s="61">
        <f>IF(ISERROR(SEARCH(Cover!$C$4,$G166)),0,1)</f>
        <v>1</v>
      </c>
      <c r="I166" s="61">
        <f>IF($H166=0,"",COUNTIF($H$2:H166,1))</f>
        <v>165</v>
      </c>
      <c r="J166" s="61" t="str">
        <f t="shared" si="7"/>
        <v>TAOS ACADEMY</v>
      </c>
      <c r="K166" s="61" t="str">
        <f t="shared" si="8"/>
        <v>State Charter</v>
      </c>
    </row>
    <row r="167" spans="1:11" x14ac:dyDescent="0.25">
      <c r="A167" s="59" t="s">
        <v>511</v>
      </c>
      <c r="B167" s="59" t="s">
        <v>302</v>
      </c>
      <c r="C167" s="59" t="s">
        <v>114</v>
      </c>
      <c r="D167" s="59" t="s">
        <v>143</v>
      </c>
      <c r="E167" s="59" t="s">
        <v>725</v>
      </c>
      <c r="F167" s="60">
        <f t="shared" si="6"/>
        <v>80</v>
      </c>
      <c r="G167" s="60" t="str">
        <f>IFERROR(INDEX($A$2:$A$226,MATCH(ROWS($F$2:F167),$F$2:$F$226,0)),"")</f>
        <v>TAOS INTEGRATED SCHOOL OF ARTS ST.</v>
      </c>
      <c r="H167" s="61">
        <f>IF(ISERROR(SEARCH(Cover!$C$4,$G167)),0,1)</f>
        <v>1</v>
      </c>
      <c r="I167" s="61">
        <f>IF($H167=0,"",COUNTIF($H$2:H167,1))</f>
        <v>166</v>
      </c>
      <c r="J167" s="61" t="str">
        <f t="shared" si="7"/>
        <v>TAOS INTEGRATED SCHOOL OF ARTS ST.</v>
      </c>
      <c r="K167" s="61" t="str">
        <f t="shared" si="8"/>
        <v>State Charter</v>
      </c>
    </row>
    <row r="168" spans="1:11" x14ac:dyDescent="0.25">
      <c r="A168" s="59" t="s">
        <v>512</v>
      </c>
      <c r="B168" s="59" t="s">
        <v>313</v>
      </c>
      <c r="C168" s="59" t="s">
        <v>114</v>
      </c>
      <c r="D168" s="59" t="s">
        <v>143</v>
      </c>
      <c r="E168" s="59" t="s">
        <v>726</v>
      </c>
      <c r="F168" s="60">
        <f t="shared" si="6"/>
        <v>86</v>
      </c>
      <c r="G168" s="60" t="str">
        <f>IFERROR(INDEX($A$2:$A$226,MATCH(ROWS($F$2:F168),$F$2:$F$226,0)),"")</f>
        <v>TAOS INTERNATIONAL</v>
      </c>
      <c r="H168" s="61">
        <f>IF(ISERROR(SEARCH(Cover!$C$4,$G168)),0,1)</f>
        <v>1</v>
      </c>
      <c r="I168" s="61">
        <f>IF($H168=0,"",COUNTIF($H$2:H168,1))</f>
        <v>167</v>
      </c>
      <c r="J168" s="61" t="str">
        <f t="shared" si="7"/>
        <v>TAOS INTERNATIONAL</v>
      </c>
      <c r="K168" s="61" t="str">
        <f t="shared" si="8"/>
        <v>State Charter</v>
      </c>
    </row>
    <row r="169" spans="1:11" x14ac:dyDescent="0.25">
      <c r="A169" s="59" t="s">
        <v>513</v>
      </c>
      <c r="B169" s="59" t="s">
        <v>314</v>
      </c>
      <c r="C169" s="59" t="s">
        <v>114</v>
      </c>
      <c r="D169" s="59" t="s">
        <v>187</v>
      </c>
      <c r="E169" s="59" t="s">
        <v>727</v>
      </c>
      <c r="F169" s="60">
        <f t="shared" si="6"/>
        <v>87</v>
      </c>
      <c r="G169" s="60" t="str">
        <f>IFERROR(INDEX($A$2:$A$226,MATCH(ROWS($F$2:F169),$F$2:$F$226,0)),"")</f>
        <v>TAOS MUNICIPAL CHARTER</v>
      </c>
      <c r="H169" s="61">
        <f>IF(ISERROR(SEARCH(Cover!$C$4,$G169)),0,1)</f>
        <v>1</v>
      </c>
      <c r="I169" s="61">
        <f>IF($H169=0,"",COUNTIF($H$2:H169,1))</f>
        <v>168</v>
      </c>
      <c r="J169" s="61" t="str">
        <f t="shared" si="7"/>
        <v>TAOS MUNICIPAL CHARTER</v>
      </c>
      <c r="K169" s="61" t="str">
        <f t="shared" si="8"/>
        <v>State Charter</v>
      </c>
    </row>
    <row r="170" spans="1:11" x14ac:dyDescent="0.25">
      <c r="A170" s="59" t="s">
        <v>514</v>
      </c>
      <c r="B170" s="59" t="s">
        <v>319</v>
      </c>
      <c r="C170" s="59" t="s">
        <v>114</v>
      </c>
      <c r="D170" s="59" t="s">
        <v>143</v>
      </c>
      <c r="E170" s="59" t="s">
        <v>728</v>
      </c>
      <c r="F170" s="60">
        <f t="shared" si="6"/>
        <v>90</v>
      </c>
      <c r="G170" s="60" t="str">
        <f>IFERROR(INDEX($A$2:$A$226,MATCH(ROWS($F$2:F170),$F$2:$F$226,0)),"")</f>
        <v>TATUM</v>
      </c>
      <c r="H170" s="61">
        <f>IF(ISERROR(SEARCH(Cover!$C$4,$G170)),0,1)</f>
        <v>1</v>
      </c>
      <c r="I170" s="61">
        <f>IF($H170=0,"",COUNTIF($H$2:H170,1))</f>
        <v>169</v>
      </c>
      <c r="J170" s="61" t="str">
        <f t="shared" si="7"/>
        <v>TATUM</v>
      </c>
      <c r="K170" s="61" t="str">
        <f t="shared" si="8"/>
        <v>State Charter</v>
      </c>
    </row>
    <row r="171" spans="1:11" x14ac:dyDescent="0.25">
      <c r="A171" s="59" t="s">
        <v>515</v>
      </c>
      <c r="B171" s="59" t="s">
        <v>344</v>
      </c>
      <c r="C171" s="59" t="s">
        <v>114</v>
      </c>
      <c r="D171" s="59" t="s">
        <v>108</v>
      </c>
      <c r="E171" s="59" t="s">
        <v>729</v>
      </c>
      <c r="F171" s="60">
        <f t="shared" si="6"/>
        <v>101</v>
      </c>
      <c r="G171" s="60" t="str">
        <f>IFERROR(INDEX($A$2:$A$226,MATCH(ROWS($F$2:F171),$F$2:$F$226,0)),"")</f>
        <v>TECHNOLOGY LEADERSHIP</v>
      </c>
      <c r="H171" s="61">
        <f>IF(ISERROR(SEARCH(Cover!$C$4,$G171)),0,1)</f>
        <v>1</v>
      </c>
      <c r="I171" s="61">
        <f>IF($H171=0,"",COUNTIF($H$2:H171,1))</f>
        <v>170</v>
      </c>
      <c r="J171" s="61" t="str">
        <f t="shared" si="7"/>
        <v>TECHNOLOGY LEADERSHIP</v>
      </c>
      <c r="K171" s="61" t="str">
        <f t="shared" si="8"/>
        <v>State Charter</v>
      </c>
    </row>
    <row r="172" spans="1:11" x14ac:dyDescent="0.25">
      <c r="A172" s="59" t="s">
        <v>516</v>
      </c>
      <c r="B172" s="59" t="s">
        <v>347</v>
      </c>
      <c r="C172" s="59" t="s">
        <v>114</v>
      </c>
      <c r="D172" s="59" t="s">
        <v>108</v>
      </c>
      <c r="E172" s="59" t="s">
        <v>730</v>
      </c>
      <c r="F172" s="60">
        <f t="shared" si="6"/>
        <v>103</v>
      </c>
      <c r="G172" s="60" t="str">
        <f>IFERROR(INDEX($A$2:$A$226,MATCH(ROWS($F$2:F172),$F$2:$F$226,0)),"")</f>
        <v>TEXICO</v>
      </c>
      <c r="H172" s="61">
        <f>IF(ISERROR(SEARCH(Cover!$C$4,$G172)),0,1)</f>
        <v>1</v>
      </c>
      <c r="I172" s="61">
        <f>IF($H172=0,"",COUNTIF($H$2:H172,1))</f>
        <v>171</v>
      </c>
      <c r="J172" s="61" t="str">
        <f t="shared" si="7"/>
        <v>TEXICO</v>
      </c>
      <c r="K172" s="61" t="str">
        <f t="shared" si="8"/>
        <v>State Charter</v>
      </c>
    </row>
    <row r="173" spans="1:11" x14ac:dyDescent="0.25">
      <c r="A173" s="59" t="s">
        <v>517</v>
      </c>
      <c r="B173" s="59" t="s">
        <v>348</v>
      </c>
      <c r="C173" s="59" t="s">
        <v>114</v>
      </c>
      <c r="D173" s="59" t="s">
        <v>115</v>
      </c>
      <c r="E173" s="59" t="s">
        <v>731</v>
      </c>
      <c r="F173" s="60">
        <f t="shared" si="6"/>
        <v>104</v>
      </c>
      <c r="G173" s="60" t="str">
        <f>IFERROR(INDEX($A$2:$A$226,MATCH(ROWS($F$2:F173),$F$2:$F$226,0)),"")</f>
        <v>THE ALBUQUERQUE TALENT AND DEVELOPMENT ACAD</v>
      </c>
      <c r="H173" s="61">
        <f>IF(ISERROR(SEARCH(Cover!$C$4,$G173)),0,1)</f>
        <v>1</v>
      </c>
      <c r="I173" s="61">
        <f>IF($H173=0,"",COUNTIF($H$2:H173,1))</f>
        <v>172</v>
      </c>
      <c r="J173" s="61" t="str">
        <f t="shared" si="7"/>
        <v>THE ALBUQUERQUE TALENT AND DEVELOPMENT ACAD</v>
      </c>
      <c r="K173" s="61" t="str">
        <f t="shared" si="8"/>
        <v>State Charter</v>
      </c>
    </row>
    <row r="174" spans="1:11" x14ac:dyDescent="0.25">
      <c r="A174" s="59" t="s">
        <v>518</v>
      </c>
      <c r="B174" s="59" t="s">
        <v>355</v>
      </c>
      <c r="C174" s="59" t="s">
        <v>114</v>
      </c>
      <c r="D174" s="59" t="s">
        <v>223</v>
      </c>
      <c r="E174" s="59" t="s">
        <v>732</v>
      </c>
      <c r="F174" s="60">
        <f t="shared" si="6"/>
        <v>107</v>
      </c>
      <c r="G174" s="60" t="str">
        <f>IFERROR(INDEX($A$2:$A$226,MATCH(ROWS($F$2:F174),$F$2:$F$226,0)),"")</f>
        <v>THE GREAT ACADEMY</v>
      </c>
      <c r="H174" s="61">
        <f>IF(ISERROR(SEARCH(Cover!$C$4,$G174)),0,1)</f>
        <v>1</v>
      </c>
      <c r="I174" s="61">
        <f>IF($H174=0,"",COUNTIF($H$2:H174,1))</f>
        <v>173</v>
      </c>
      <c r="J174" s="61" t="str">
        <f t="shared" si="7"/>
        <v>THE GREAT ACADEMY</v>
      </c>
      <c r="K174" s="61" t="str">
        <f t="shared" si="8"/>
        <v>State Charter</v>
      </c>
    </row>
    <row r="175" spans="1:11" x14ac:dyDescent="0.25">
      <c r="A175" s="59" t="s">
        <v>519</v>
      </c>
      <c r="B175" s="59" t="s">
        <v>356</v>
      </c>
      <c r="C175" s="59" t="s">
        <v>114</v>
      </c>
      <c r="D175" s="59" t="s">
        <v>115</v>
      </c>
      <c r="E175" s="59" t="s">
        <v>733</v>
      </c>
      <c r="F175" s="60">
        <f t="shared" si="6"/>
        <v>108</v>
      </c>
      <c r="G175" s="60" t="str">
        <f>IFERROR(INDEX($A$2:$A$226,MATCH(ROWS($F$2:F175),$F$2:$F$226,0)),"")</f>
        <v>THRIVE COMMUNITY SCHOOL</v>
      </c>
      <c r="H175" s="61">
        <f>IF(ISERROR(SEARCH(Cover!$C$4,$G175)),0,1)</f>
        <v>1</v>
      </c>
      <c r="I175" s="61">
        <f>IF($H175=0,"",COUNTIF($H$2:H175,1))</f>
        <v>174</v>
      </c>
      <c r="J175" s="61" t="str">
        <f t="shared" si="7"/>
        <v>THRIVE COMMUNITY SCHOOL</v>
      </c>
      <c r="K175" s="61" t="str">
        <f t="shared" si="8"/>
        <v>State Charter</v>
      </c>
    </row>
    <row r="176" spans="1:11" x14ac:dyDescent="0.25">
      <c r="A176" s="59" t="s">
        <v>520</v>
      </c>
      <c r="B176" s="59" t="s">
        <v>357</v>
      </c>
      <c r="C176" s="59" t="s">
        <v>114</v>
      </c>
      <c r="D176" s="59" t="s">
        <v>108</v>
      </c>
      <c r="E176" s="59" t="s">
        <v>734</v>
      </c>
      <c r="F176" s="60">
        <f t="shared" si="6"/>
        <v>109</v>
      </c>
      <c r="G176" s="60" t="str">
        <f>IFERROR(INDEX($A$2:$A$226,MATCH(ROWS($F$2:F176),$F$2:$F$226,0)),"")</f>
        <v>TIERRA ADENTRO ST. CHARTER</v>
      </c>
      <c r="H176" s="61">
        <f>IF(ISERROR(SEARCH(Cover!$C$4,$G176)),0,1)</f>
        <v>1</v>
      </c>
      <c r="I176" s="61">
        <f>IF($H176=0,"",COUNTIF($H$2:H176,1))</f>
        <v>175</v>
      </c>
      <c r="J176" s="61" t="str">
        <f t="shared" si="7"/>
        <v>TIERRA ADENTRO ST. CHARTER</v>
      </c>
      <c r="K176" s="61" t="str">
        <f t="shared" si="8"/>
        <v>State Charter</v>
      </c>
    </row>
    <row r="177" spans="1:11" x14ac:dyDescent="0.25">
      <c r="A177" s="59" t="s">
        <v>521</v>
      </c>
      <c r="B177" s="59" t="s">
        <v>358</v>
      </c>
      <c r="C177" s="59" t="s">
        <v>114</v>
      </c>
      <c r="D177" s="59" t="s">
        <v>115</v>
      </c>
      <c r="E177" s="59" t="s">
        <v>735</v>
      </c>
      <c r="F177" s="60">
        <f t="shared" si="6"/>
        <v>110</v>
      </c>
      <c r="G177" s="60" t="str">
        <f>IFERROR(INDEX($A$2:$A$226,MATCH(ROWS($F$2:F177),$F$2:$F$226,0)),"")</f>
        <v>TIERRA ENCANTADA CHARTER</v>
      </c>
      <c r="H177" s="61">
        <f>IF(ISERROR(SEARCH(Cover!$C$4,$G177)),0,1)</f>
        <v>1</v>
      </c>
      <c r="I177" s="61">
        <f>IF($H177=0,"",COUNTIF($H$2:H177,1))</f>
        <v>176</v>
      </c>
      <c r="J177" s="61" t="str">
        <f t="shared" si="7"/>
        <v>TIERRA ENCANTADA CHARTER</v>
      </c>
      <c r="K177" s="61" t="str">
        <f t="shared" si="8"/>
        <v>State Charter</v>
      </c>
    </row>
    <row r="178" spans="1:11" x14ac:dyDescent="0.25">
      <c r="A178" s="59" t="s">
        <v>382</v>
      </c>
      <c r="B178" s="59" t="s">
        <v>383</v>
      </c>
      <c r="C178" s="59" t="s">
        <v>114</v>
      </c>
      <c r="D178" s="59" t="s">
        <v>143</v>
      </c>
      <c r="E178" s="59" t="s">
        <v>736</v>
      </c>
      <c r="F178" s="60">
        <f t="shared" si="6"/>
        <v>121</v>
      </c>
      <c r="G178" s="60" t="str">
        <f>IFERROR(INDEX($A$2:$A$226,MATCH(ROWS($F$2:F178),$F$2:$F$226,0)),"")</f>
        <v>TRUTH OR CONSEQ.</v>
      </c>
      <c r="H178" s="61">
        <f>IF(ISERROR(SEARCH(Cover!$C$4,$G178)),0,1)</f>
        <v>1</v>
      </c>
      <c r="I178" s="61">
        <f>IF($H178=0,"",COUNTIF($H$2:H178,1))</f>
        <v>177</v>
      </c>
      <c r="J178" s="61" t="str">
        <f t="shared" si="7"/>
        <v>TRUTH OR CONSEQ.</v>
      </c>
      <c r="K178" s="61" t="str">
        <f t="shared" si="8"/>
        <v>State Charter</v>
      </c>
    </row>
    <row r="179" spans="1:11" x14ac:dyDescent="0.25">
      <c r="A179" s="59" t="s">
        <v>384</v>
      </c>
      <c r="B179" s="59" t="s">
        <v>385</v>
      </c>
      <c r="C179" s="59" t="s">
        <v>114</v>
      </c>
      <c r="D179" s="59" t="s">
        <v>108</v>
      </c>
      <c r="E179" s="59" t="s">
        <v>737</v>
      </c>
      <c r="F179" s="60">
        <f t="shared" si="6"/>
        <v>122</v>
      </c>
      <c r="G179" s="60" t="str">
        <f>IFERROR(INDEX($A$2:$A$226,MATCH(ROWS($F$2:F179),$F$2:$F$226,0)),"")</f>
        <v>TUCUMCARI</v>
      </c>
      <c r="H179" s="61">
        <f>IF(ISERROR(SEARCH(Cover!$C$4,$G179)),0,1)</f>
        <v>1</v>
      </c>
      <c r="I179" s="61">
        <f>IF($H179=0,"",COUNTIF($H$2:H179,1))</f>
        <v>178</v>
      </c>
      <c r="J179" s="61" t="str">
        <f t="shared" si="7"/>
        <v>TUCUMCARI</v>
      </c>
      <c r="K179" s="61" t="str">
        <f t="shared" si="8"/>
        <v>State Charter</v>
      </c>
    </row>
    <row r="180" spans="1:11" x14ac:dyDescent="0.25">
      <c r="A180" s="59" t="s">
        <v>522</v>
      </c>
      <c r="B180" s="59" t="s">
        <v>388</v>
      </c>
      <c r="C180" s="59" t="s">
        <v>114</v>
      </c>
      <c r="D180" s="59" t="s">
        <v>108</v>
      </c>
      <c r="E180" s="59" t="s">
        <v>738</v>
      </c>
      <c r="F180" s="60">
        <f t="shared" si="6"/>
        <v>124</v>
      </c>
      <c r="G180" s="60" t="str">
        <f>IFERROR(INDEX($A$2:$A$226,MATCH(ROWS($F$2:F180),$F$2:$F$226,0)),"")</f>
        <v>TULAROSA</v>
      </c>
      <c r="H180" s="61">
        <f>IF(ISERROR(SEARCH(Cover!$C$4,$G180)),0,1)</f>
        <v>1</v>
      </c>
      <c r="I180" s="61">
        <f>IF($H180=0,"",COUNTIF($H$2:H180,1))</f>
        <v>179</v>
      </c>
      <c r="J180" s="61" t="str">
        <f t="shared" si="7"/>
        <v>TULAROSA</v>
      </c>
      <c r="K180" s="61" t="str">
        <f t="shared" si="8"/>
        <v>State Charter</v>
      </c>
    </row>
    <row r="181" spans="1:11" x14ac:dyDescent="0.25">
      <c r="A181" s="59" t="s">
        <v>523</v>
      </c>
      <c r="B181" s="59" t="s">
        <v>389</v>
      </c>
      <c r="C181" s="59" t="s">
        <v>114</v>
      </c>
      <c r="D181" s="59" t="s">
        <v>115</v>
      </c>
      <c r="E181" s="59" t="s">
        <v>739</v>
      </c>
      <c r="F181" s="60">
        <f t="shared" si="6"/>
        <v>125</v>
      </c>
      <c r="G181" s="60" t="str">
        <f>IFERROR(INDEX($A$2:$A$226,MATCH(ROWS($F$2:F181),$F$2:$F$226,0)),"")</f>
        <v>TURQUOISE TRAIL ELEMENTARY</v>
      </c>
      <c r="H181" s="61">
        <f>IF(ISERROR(SEARCH(Cover!$C$4,$G181)),0,1)</f>
        <v>1</v>
      </c>
      <c r="I181" s="61">
        <f>IF($H181=0,"",COUNTIF($H$2:H181,1))</f>
        <v>180</v>
      </c>
      <c r="J181" s="61" t="str">
        <f t="shared" si="7"/>
        <v>TURQUOISE TRAIL ELEMENTARY</v>
      </c>
      <c r="K181" s="61" t="str">
        <f t="shared" si="8"/>
        <v>State Charter</v>
      </c>
    </row>
    <row r="182" spans="1:11" x14ac:dyDescent="0.25">
      <c r="A182" s="59" t="s">
        <v>524</v>
      </c>
      <c r="B182" s="59" t="s">
        <v>407</v>
      </c>
      <c r="C182" s="59" t="s">
        <v>114</v>
      </c>
      <c r="D182" s="59" t="s">
        <v>143</v>
      </c>
      <c r="E182" s="59" t="s">
        <v>740</v>
      </c>
      <c r="F182" s="60">
        <f t="shared" si="6"/>
        <v>134</v>
      </c>
      <c r="G182" s="60" t="str">
        <f>IFERROR(INDEX($A$2:$A$226,MATCH(ROWS($F$2:F182),$F$2:$F$226,0)),"")</f>
        <v>Twenty First Century (21st CENTURY PUBLIC ACADEMY)</v>
      </c>
      <c r="H182" s="61">
        <f>IF(ISERROR(SEARCH(Cover!$C$4,$G182)),0,1)</f>
        <v>1</v>
      </c>
      <c r="I182" s="61">
        <f>IF($H182=0,"",COUNTIF($H$2:H182,1))</f>
        <v>181</v>
      </c>
      <c r="J182" s="61" t="str">
        <f t="shared" si="7"/>
        <v>Twenty First Century (21st CENTURY PUBLIC ACADEMY)</v>
      </c>
      <c r="K182" s="61" t="str">
        <f t="shared" si="8"/>
        <v>State Charter</v>
      </c>
    </row>
    <row r="183" spans="1:11" x14ac:dyDescent="0.25">
      <c r="A183" s="59" t="s">
        <v>525</v>
      </c>
      <c r="B183" s="59" t="s">
        <v>410</v>
      </c>
      <c r="C183" s="59" t="s">
        <v>114</v>
      </c>
      <c r="D183" s="59" t="s">
        <v>151</v>
      </c>
      <c r="E183" s="59" t="s">
        <v>741</v>
      </c>
      <c r="F183" s="60">
        <f t="shared" si="6"/>
        <v>136</v>
      </c>
      <c r="G183" s="60" t="str">
        <f>IFERROR(INDEX($A$2:$A$226,MATCH(ROWS($F$2:F183),$F$2:$F$226,0)),"")</f>
        <v>UNITED COMMUNITY ACADEMY</v>
      </c>
      <c r="H183" s="61">
        <f>IF(ISERROR(SEARCH(Cover!$C$4,$G183)),0,1)</f>
        <v>1</v>
      </c>
      <c r="I183" s="61">
        <f>IF($H183=0,"",COUNTIF($H$2:H183,1))</f>
        <v>182</v>
      </c>
      <c r="J183" s="61" t="str">
        <f t="shared" si="7"/>
        <v>UNITED COMMUNITY ACADEMY</v>
      </c>
      <c r="K183" s="61" t="str">
        <f t="shared" si="8"/>
        <v>State Charter</v>
      </c>
    </row>
    <row r="184" spans="1:11" x14ac:dyDescent="0.25">
      <c r="A184" s="59" t="s">
        <v>526</v>
      </c>
      <c r="B184" s="59" t="s">
        <v>420</v>
      </c>
      <c r="C184" s="59" t="s">
        <v>114</v>
      </c>
      <c r="D184" s="59" t="s">
        <v>151</v>
      </c>
      <c r="E184" s="59" t="s">
        <v>742</v>
      </c>
      <c r="F184" s="60">
        <f t="shared" si="6"/>
        <v>142</v>
      </c>
      <c r="G184" s="60" t="str">
        <f>IFERROR(INDEX($A$2:$A$226,MATCH(ROWS($F$2:F184),$F$2:$F$226,0)),"")</f>
        <v>VAUGHN</v>
      </c>
      <c r="H184" s="61">
        <f>IF(ISERROR(SEARCH(Cover!$C$4,$G184)),0,1)</f>
        <v>1</v>
      </c>
      <c r="I184" s="61">
        <f>IF($H184=0,"",COUNTIF($H$2:H184,1))</f>
        <v>183</v>
      </c>
      <c r="J184" s="61" t="str">
        <f t="shared" si="7"/>
        <v>VAUGHN</v>
      </c>
      <c r="K184" s="61" t="str">
        <f t="shared" si="8"/>
        <v>State Charter</v>
      </c>
    </row>
    <row r="185" spans="1:11" x14ac:dyDescent="0.25">
      <c r="A185" s="59" t="s">
        <v>527</v>
      </c>
      <c r="B185" s="59" t="s">
        <v>432</v>
      </c>
      <c r="C185" s="59" t="s">
        <v>114</v>
      </c>
      <c r="D185" s="59" t="s">
        <v>161</v>
      </c>
      <c r="E185" s="59" t="s">
        <v>743</v>
      </c>
      <c r="F185" s="60">
        <f t="shared" si="6"/>
        <v>148</v>
      </c>
      <c r="G185" s="60" t="str">
        <f>IFERROR(INDEX($A$2:$A$226,MATCH(ROWS($F$2:F185),$F$2:$F$226,0)),"")</f>
        <v>VISTA GRANDE</v>
      </c>
      <c r="H185" s="61">
        <f>IF(ISERROR(SEARCH(Cover!$C$4,$G185)),0,1)</f>
        <v>1</v>
      </c>
      <c r="I185" s="61">
        <f>IF($H185=0,"",COUNTIF($H$2:H185,1))</f>
        <v>184</v>
      </c>
      <c r="J185" s="61" t="str">
        <f t="shared" si="7"/>
        <v>VISTA GRANDE</v>
      </c>
      <c r="K185" s="61" t="str">
        <f t="shared" si="8"/>
        <v>State Charter</v>
      </c>
    </row>
    <row r="186" spans="1:11" x14ac:dyDescent="0.25">
      <c r="A186" s="59" t="s">
        <v>528</v>
      </c>
      <c r="B186" s="59" t="s">
        <v>437</v>
      </c>
      <c r="C186" s="59" t="s">
        <v>114</v>
      </c>
      <c r="D186" s="59" t="s">
        <v>333</v>
      </c>
      <c r="E186" s="59" t="s">
        <v>744</v>
      </c>
      <c r="F186" s="60">
        <f t="shared" si="6"/>
        <v>151</v>
      </c>
      <c r="G186" s="60" t="str">
        <f>IFERROR(INDEX($A$2:$A$226,MATCH(ROWS($F$2:F186),$F$2:$F$226,0)),"")</f>
        <v>VOZ COLLEGIATE PREPARATORY CHARTER SCHOOL</v>
      </c>
      <c r="H186" s="61">
        <f>IF(ISERROR(SEARCH(Cover!$C$4,$G186)),0,1)</f>
        <v>1</v>
      </c>
      <c r="I186" s="61">
        <f>IF($H186=0,"",COUNTIF($H$2:H186,1))</f>
        <v>185</v>
      </c>
      <c r="J186" s="61" t="str">
        <f t="shared" si="7"/>
        <v>VOZ COLLEGIATE PREPARATORY CHARTER SCHOOL</v>
      </c>
      <c r="K186" s="61" t="str">
        <f t="shared" si="8"/>
        <v>State Charter</v>
      </c>
    </row>
    <row r="187" spans="1:11" x14ac:dyDescent="0.25">
      <c r="A187" s="59" t="s">
        <v>529</v>
      </c>
      <c r="B187" s="59" t="s">
        <v>443</v>
      </c>
      <c r="C187" s="59" t="s">
        <v>114</v>
      </c>
      <c r="D187" s="59" t="s">
        <v>223</v>
      </c>
      <c r="E187" s="59" t="s">
        <v>745</v>
      </c>
      <c r="F187" s="60">
        <f t="shared" si="6"/>
        <v>155</v>
      </c>
      <c r="G187" s="60" t="str">
        <f>IFERROR(INDEX($A$2:$A$226,MATCH(ROWS($F$2:F187),$F$2:$F$226,0)),"")</f>
        <v>WAGON MOUND</v>
      </c>
      <c r="H187" s="61">
        <f>IF(ISERROR(SEARCH(Cover!$C$4,$G187)),0,1)</f>
        <v>1</v>
      </c>
      <c r="I187" s="61">
        <f>IF($H187=0,"",COUNTIF($H$2:H187,1))</f>
        <v>186</v>
      </c>
      <c r="J187" s="61" t="str">
        <f t="shared" si="7"/>
        <v>WAGON MOUND</v>
      </c>
      <c r="K187" s="61" t="str">
        <f t="shared" si="8"/>
        <v>State Charter</v>
      </c>
    </row>
    <row r="188" spans="1:11" x14ac:dyDescent="0.25">
      <c r="A188" s="59" t="s">
        <v>530</v>
      </c>
      <c r="B188" s="59" t="s">
        <v>445</v>
      </c>
      <c r="C188" s="59" t="s">
        <v>114</v>
      </c>
      <c r="D188" s="59" t="s">
        <v>115</v>
      </c>
      <c r="E188" s="59" t="s">
        <v>746</v>
      </c>
      <c r="F188" s="60">
        <f t="shared" si="6"/>
        <v>157</v>
      </c>
      <c r="G188" s="60" t="str">
        <f>IFERROR(INDEX($A$2:$A$226,MATCH(ROWS($F$2:F188),$F$2:$F$226,0)),"")</f>
        <v>WALATOWA CHARTER HIGH SCHOOL</v>
      </c>
      <c r="H188" s="61">
        <f>IF(ISERROR(SEARCH(Cover!$C$4,$G188)),0,1)</f>
        <v>1</v>
      </c>
      <c r="I188" s="61">
        <f>IF($H188=0,"",COUNTIF($H$2:H188,1))</f>
        <v>187</v>
      </c>
      <c r="J188" s="61" t="str">
        <f t="shared" si="7"/>
        <v>WALATOWA CHARTER HIGH SCHOOL</v>
      </c>
      <c r="K188" s="61" t="str">
        <f t="shared" si="8"/>
        <v>State Charter</v>
      </c>
    </row>
    <row r="189" spans="1:11" x14ac:dyDescent="0.25">
      <c r="A189" s="59" t="s">
        <v>531</v>
      </c>
      <c r="B189" s="59" t="s">
        <v>448</v>
      </c>
      <c r="C189" s="59" t="s">
        <v>114</v>
      </c>
      <c r="D189" s="59" t="s">
        <v>115</v>
      </c>
      <c r="E189" s="59" t="s">
        <v>747</v>
      </c>
      <c r="F189" s="60">
        <f t="shared" si="6"/>
        <v>159</v>
      </c>
      <c r="G189" s="60" t="str">
        <f>IFERROR(INDEX($A$2:$A$226,MATCH(ROWS($F$2:F189),$F$2:$F$226,0)),"")</f>
        <v>WEST LAS VEGAS</v>
      </c>
      <c r="H189" s="61">
        <f>IF(ISERROR(SEARCH(Cover!$C$4,$G189)),0,1)</f>
        <v>1</v>
      </c>
      <c r="I189" s="61">
        <f>IF($H189=0,"",COUNTIF($H$2:H189,1))</f>
        <v>188</v>
      </c>
      <c r="J189" s="61" t="str">
        <f t="shared" si="7"/>
        <v>WEST LAS VEGAS</v>
      </c>
      <c r="K189" s="61" t="str">
        <f t="shared" si="8"/>
        <v>State Charter</v>
      </c>
    </row>
    <row r="190" spans="1:11" x14ac:dyDescent="0.25">
      <c r="A190" s="59" t="s">
        <v>454</v>
      </c>
      <c r="B190" s="59" t="s">
        <v>455</v>
      </c>
      <c r="C190" s="59" t="s">
        <v>114</v>
      </c>
      <c r="D190" s="59" t="s">
        <v>115</v>
      </c>
      <c r="E190" s="59" t="s">
        <v>748</v>
      </c>
      <c r="F190" s="60">
        <f t="shared" si="6"/>
        <v>163</v>
      </c>
      <c r="G190" s="60" t="str">
        <f>IFERROR(INDEX($A$2:$A$226,MATCH(ROWS($F$2:F190),$F$2:$F$226,0)),"")</f>
        <v>WILLIAM W &amp; JOSEPHINE DORN CHARTER</v>
      </c>
      <c r="H190" s="61">
        <f>IF(ISERROR(SEARCH(Cover!$C$4,$G190)),0,1)</f>
        <v>1</v>
      </c>
      <c r="I190" s="61">
        <f>IF($H190=0,"",COUNTIF($H$2:H190,1))</f>
        <v>189</v>
      </c>
      <c r="J190" s="61" t="str">
        <f t="shared" si="7"/>
        <v>WILLIAM W &amp; JOSEPHINE DORN CHARTER</v>
      </c>
      <c r="K190" s="61" t="str">
        <f t="shared" si="8"/>
        <v>State Charter</v>
      </c>
    </row>
    <row r="191" spans="1:11" x14ac:dyDescent="0.25">
      <c r="A191" s="59" t="s">
        <v>532</v>
      </c>
      <c r="B191" s="59" t="s">
        <v>449</v>
      </c>
      <c r="C191" s="59" t="s">
        <v>114</v>
      </c>
      <c r="D191" s="59" t="s">
        <v>115</v>
      </c>
      <c r="E191" s="59" t="s">
        <v>749</v>
      </c>
      <c r="F191" s="60">
        <f t="shared" si="6"/>
        <v>160</v>
      </c>
      <c r="G191" s="60" t="str">
        <f>IFERROR(INDEX($A$2:$A$226,MATCH(ROWS($F$2:F191),$F$2:$F$226,0)),"")</f>
        <v>ZUNI</v>
      </c>
      <c r="H191" s="61">
        <f>IF(ISERROR(SEARCH(Cover!$C$4,$G191)),0,1)</f>
        <v>1</v>
      </c>
      <c r="I191" s="61">
        <f>IF($H191=0,"",COUNTIF($H$2:H191,1))</f>
        <v>190</v>
      </c>
      <c r="J191" s="61" t="str">
        <f t="shared" si="7"/>
        <v>ZUNI</v>
      </c>
      <c r="K191" s="61" t="str">
        <f t="shared" si="8"/>
        <v>State Charter</v>
      </c>
    </row>
    <row r="192" spans="1:11" x14ac:dyDescent="0.25">
      <c r="A192" s="59" t="s">
        <v>533</v>
      </c>
      <c r="B192" s="59" t="s">
        <v>450</v>
      </c>
      <c r="C192" s="59" t="s">
        <v>114</v>
      </c>
      <c r="D192" s="59" t="s">
        <v>115</v>
      </c>
      <c r="E192" s="59" t="s">
        <v>750</v>
      </c>
      <c r="F192" s="60">
        <f t="shared" si="6"/>
        <v>161</v>
      </c>
      <c r="G192" s="60" t="str">
        <f>IFERROR(INDEX($A$2:$A$226,MATCH(ROWS($F$2:F192),$F$2:$F$226,0)),"")</f>
        <v/>
      </c>
      <c r="H192" s="61">
        <f>IF(ISERROR(SEARCH(Cover!$C$4,$G192)),0,1)</f>
        <v>0</v>
      </c>
      <c r="I192" s="61" t="str">
        <f>IF($H192=0,"",COUNTIF($H$2:H192,1))</f>
        <v/>
      </c>
      <c r="J192" s="61" t="str">
        <f t="shared" si="7"/>
        <v/>
      </c>
      <c r="K192" s="61" t="str">
        <f t="shared" si="8"/>
        <v>State Charter</v>
      </c>
    </row>
    <row r="193" spans="1:11" x14ac:dyDescent="0.25">
      <c r="A193" s="59" t="s">
        <v>457</v>
      </c>
      <c r="B193" s="59" t="s">
        <v>458</v>
      </c>
      <c r="C193" s="59" t="s">
        <v>114</v>
      </c>
      <c r="D193" s="59" t="s">
        <v>151</v>
      </c>
      <c r="E193" s="59" t="s">
        <v>751</v>
      </c>
      <c r="F193" s="60">
        <f t="shared" si="6"/>
        <v>165</v>
      </c>
      <c r="G193" s="60" t="str">
        <f>IFERROR(INDEX($A$2:$A$226,MATCH(ROWS($F$2:F193),$F$2:$F$226,0)),"")</f>
        <v/>
      </c>
      <c r="H193" s="61">
        <f>IF(ISERROR(SEARCH(Cover!$C$4,$G193)),0,1)</f>
        <v>0</v>
      </c>
      <c r="I193" s="61" t="str">
        <f>IF($H193=0,"",COUNTIF($H$2:H193,1))</f>
        <v/>
      </c>
      <c r="J193" s="61" t="str">
        <f t="shared" si="7"/>
        <v/>
      </c>
      <c r="K193" s="61" t="str">
        <f t="shared" si="8"/>
        <v>State Charter</v>
      </c>
    </row>
    <row r="194" spans="1:11" x14ac:dyDescent="0.25">
      <c r="A194" s="59" t="s">
        <v>534</v>
      </c>
      <c r="B194" s="59" t="s">
        <v>459</v>
      </c>
      <c r="C194" s="59" t="s">
        <v>114</v>
      </c>
      <c r="D194" s="59" t="s">
        <v>151</v>
      </c>
      <c r="E194" s="59" t="s">
        <v>752</v>
      </c>
      <c r="F194" s="60">
        <f t="shared" si="6"/>
        <v>166</v>
      </c>
      <c r="G194" s="60" t="str">
        <f>IFERROR(INDEX($A$2:$A$226,MATCH(ROWS($F$2:F194),$F$2:$F$226,0)),"")</f>
        <v/>
      </c>
      <c r="H194" s="61">
        <f>IF(ISERROR(SEARCH(Cover!$C$4,$G194)),0,1)</f>
        <v>0</v>
      </c>
      <c r="I194" s="61" t="str">
        <f>IF($H194=0,"",COUNTIF($H$2:H194,1))</f>
        <v/>
      </c>
      <c r="J194" s="61" t="str">
        <f t="shared" si="7"/>
        <v/>
      </c>
      <c r="K194" s="61" t="str">
        <f t="shared" si="8"/>
        <v>State Charter</v>
      </c>
    </row>
    <row r="195" spans="1:11" x14ac:dyDescent="0.25">
      <c r="A195" s="59" t="s">
        <v>535</v>
      </c>
      <c r="B195" s="59" t="s">
        <v>460</v>
      </c>
      <c r="C195" s="59" t="s">
        <v>114</v>
      </c>
      <c r="D195" s="59" t="s">
        <v>151</v>
      </c>
      <c r="E195" s="59" t="s">
        <v>753</v>
      </c>
      <c r="F195" s="60">
        <f t="shared" ref="F195:F257" si="9">COUNTIF($A$2:$A$226,"&lt;="&amp;A195)</f>
        <v>167</v>
      </c>
      <c r="G195" s="60" t="str">
        <f>IFERROR(INDEX($A$2:$A$226,MATCH(ROWS($F$2:F195),$F$2:$F$226,0)),"")</f>
        <v/>
      </c>
      <c r="H195" s="61">
        <f>IF(ISERROR(SEARCH(Cover!$C$4,$G195)),0,1)</f>
        <v>0</v>
      </c>
      <c r="I195" s="61" t="str">
        <f>IF($H195=0,"",COUNTIF($H$2:H195,1))</f>
        <v/>
      </c>
      <c r="J195" s="61" t="str">
        <f t="shared" ref="J195:J257" si="10">IFERROR(INDEX(G194:G419,MATCH(ROW(I194),I194:I419,0)),"")</f>
        <v/>
      </c>
      <c r="K195" s="61" t="str">
        <f t="shared" ref="K195:K257" si="11">IF(C195="D","District",IF(C195="LC","Local Charter",IF(C195="SC","State Charter","")))</f>
        <v>State Charter</v>
      </c>
    </row>
    <row r="196" spans="1:11" x14ac:dyDescent="0.25">
      <c r="A196" s="59" t="s">
        <v>536</v>
      </c>
      <c r="B196" s="59" t="s">
        <v>473</v>
      </c>
      <c r="C196" s="59" t="s">
        <v>114</v>
      </c>
      <c r="D196" s="59" t="s">
        <v>115</v>
      </c>
      <c r="E196" s="59" t="s">
        <v>754</v>
      </c>
      <c r="F196" s="60">
        <f t="shared" si="9"/>
        <v>173</v>
      </c>
      <c r="G196" s="60" t="str">
        <f>IFERROR(INDEX($A$2:$A$226,MATCH(ROWS($F$2:F196),$F$2:$F$226,0)),"")</f>
        <v/>
      </c>
      <c r="H196" s="61">
        <f>IF(ISERROR(SEARCH(Cover!$C$4,$G196)),0,1)</f>
        <v>0</v>
      </c>
      <c r="I196" s="61" t="str">
        <f>IF($H196=0,"",COUNTIF($H$2:H196,1))</f>
        <v/>
      </c>
      <c r="J196" s="61" t="str">
        <f t="shared" si="10"/>
        <v/>
      </c>
      <c r="K196" s="61" t="str">
        <f t="shared" si="11"/>
        <v>State Charter</v>
      </c>
    </row>
    <row r="197" spans="1:11" x14ac:dyDescent="0.25">
      <c r="A197" s="59" t="s">
        <v>537</v>
      </c>
      <c r="B197" s="59" t="s">
        <v>474</v>
      </c>
      <c r="C197" s="59" t="s">
        <v>114</v>
      </c>
      <c r="D197" s="59" t="s">
        <v>115</v>
      </c>
      <c r="E197" s="59" t="s">
        <v>755</v>
      </c>
      <c r="F197" s="60">
        <f t="shared" si="9"/>
        <v>175</v>
      </c>
      <c r="G197" s="60" t="str">
        <f>IFERROR(INDEX($A$2:$A$226,MATCH(ROWS($F$2:F197),$F$2:$F$226,0)),"")</f>
        <v/>
      </c>
      <c r="H197" s="61">
        <f>IF(ISERROR(SEARCH(Cover!$C$4,$G197)),0,1)</f>
        <v>0</v>
      </c>
      <c r="I197" s="61" t="str">
        <f>IF($H197=0,"",COUNTIF($H$2:H197,1))</f>
        <v/>
      </c>
      <c r="J197" s="61" t="str">
        <f t="shared" si="10"/>
        <v/>
      </c>
      <c r="K197" s="61" t="str">
        <f t="shared" si="11"/>
        <v>State Charter</v>
      </c>
    </row>
    <row r="198" spans="1:11" x14ac:dyDescent="0.25">
      <c r="A198" s="59" t="s">
        <v>538</v>
      </c>
      <c r="B198" s="59" t="s">
        <v>475</v>
      </c>
      <c r="C198" s="59" t="s">
        <v>114</v>
      </c>
      <c r="D198" s="59" t="s">
        <v>108</v>
      </c>
      <c r="E198" s="59" t="s">
        <v>756</v>
      </c>
      <c r="F198" s="60">
        <f t="shared" si="9"/>
        <v>176</v>
      </c>
      <c r="G198" s="60" t="str">
        <f>IFERROR(INDEX($A$2:$A$226,MATCH(ROWS($F$2:F198),$F$2:$F$226,0)),"")</f>
        <v/>
      </c>
      <c r="H198" s="61">
        <f>IF(ISERROR(SEARCH(Cover!$C$4,$G198)),0,1)</f>
        <v>0</v>
      </c>
      <c r="I198" s="61" t="str">
        <f>IF($H198=0,"",COUNTIF($H$2:H198,1))</f>
        <v/>
      </c>
      <c r="J198" s="61" t="str">
        <f t="shared" si="10"/>
        <v/>
      </c>
      <c r="K198" s="61" t="str">
        <f t="shared" si="11"/>
        <v>State Charter</v>
      </c>
    </row>
    <row r="199" spans="1:11" x14ac:dyDescent="0.25">
      <c r="A199" s="59" t="s">
        <v>483</v>
      </c>
      <c r="B199" s="59" t="s">
        <v>484</v>
      </c>
      <c r="C199" s="59" t="s">
        <v>114</v>
      </c>
      <c r="D199" s="59" t="s">
        <v>108</v>
      </c>
      <c r="E199" s="59" t="s">
        <v>757</v>
      </c>
      <c r="F199" s="60">
        <f t="shared" si="9"/>
        <v>180</v>
      </c>
      <c r="G199" s="60" t="str">
        <f>IFERROR(INDEX($A$2:$A$226,MATCH(ROWS($F$2:F199),$F$2:$F$226,0)),"")</f>
        <v/>
      </c>
      <c r="H199" s="61">
        <f>IF(ISERROR(SEARCH(Cover!$C$4,$G199)),0,1)</f>
        <v>0</v>
      </c>
      <c r="I199" s="61" t="str">
        <f>IF($H199=0,"",COUNTIF($H$2:H199,1))</f>
        <v/>
      </c>
      <c r="J199" s="61" t="str">
        <f t="shared" si="10"/>
        <v/>
      </c>
      <c r="K199" s="61" t="str">
        <f t="shared" si="11"/>
        <v>State Charter</v>
      </c>
    </row>
    <row r="200" spans="1:11" x14ac:dyDescent="0.25">
      <c r="A200" s="59" t="s">
        <v>485</v>
      </c>
      <c r="B200" s="59" t="s">
        <v>486</v>
      </c>
      <c r="C200" s="59" t="s">
        <v>114</v>
      </c>
      <c r="D200" s="59" t="s">
        <v>115</v>
      </c>
      <c r="E200" s="59" t="s">
        <v>758</v>
      </c>
      <c r="F200" s="60">
        <f t="shared" si="9"/>
        <v>181</v>
      </c>
      <c r="G200" s="60" t="str">
        <f>IFERROR(INDEX($A$2:$A$226,MATCH(ROWS($F$2:F200),$F$2:$F$226,0)),"")</f>
        <v/>
      </c>
      <c r="H200" s="61">
        <f>IF(ISERROR(SEARCH(Cover!$C$4,$G200)),0,1)</f>
        <v>0</v>
      </c>
      <c r="I200" s="61" t="str">
        <f>IF($H200=0,"",COUNTIF($H$2:H200,1))</f>
        <v/>
      </c>
      <c r="J200" s="61" t="str">
        <f t="shared" si="10"/>
        <v/>
      </c>
      <c r="K200" s="61" t="str">
        <f t="shared" si="11"/>
        <v>State Charter</v>
      </c>
    </row>
    <row r="201" spans="1:11" x14ac:dyDescent="0.25">
      <c r="A201" s="59" t="s">
        <v>493</v>
      </c>
      <c r="B201" s="59" t="s">
        <v>494</v>
      </c>
      <c r="C201" s="59" t="s">
        <v>114</v>
      </c>
      <c r="D201" s="59" t="s">
        <v>161</v>
      </c>
      <c r="E201" s="59" t="s">
        <v>759</v>
      </c>
      <c r="F201" s="60">
        <f t="shared" si="9"/>
        <v>187</v>
      </c>
      <c r="G201" s="60" t="str">
        <f>IFERROR(INDEX($A$2:$A$226,MATCH(ROWS($F$2:F201),$F$2:$F$226,0)),"")</f>
        <v/>
      </c>
      <c r="H201" s="61">
        <f>IF(ISERROR(SEARCH(Cover!$C$4,$G201)),0,1)</f>
        <v>0</v>
      </c>
      <c r="I201" s="61" t="str">
        <f>IF($H201=0,"",COUNTIF($H$2:H201,1))</f>
        <v/>
      </c>
      <c r="J201" s="61" t="str">
        <f t="shared" si="10"/>
        <v/>
      </c>
      <c r="K201" s="61" t="str">
        <f t="shared" si="11"/>
        <v>State Charter</v>
      </c>
    </row>
    <row r="202" spans="1:11" x14ac:dyDescent="0.25">
      <c r="A202" s="66" t="s">
        <v>564</v>
      </c>
      <c r="B202" s="66" t="s">
        <v>565</v>
      </c>
      <c r="C202" s="66" t="s">
        <v>114</v>
      </c>
      <c r="D202" s="59" t="s">
        <v>115</v>
      </c>
      <c r="E202" s="59" t="s">
        <v>760</v>
      </c>
      <c r="F202" s="60">
        <f t="shared" si="9"/>
        <v>139</v>
      </c>
      <c r="G202" s="60" t="str">
        <f>IFERROR(INDEX($A$2:$A$226,MATCH(ROWS($F$2:F202),$F$2:$F$226,0)),"")</f>
        <v/>
      </c>
      <c r="H202" s="61">
        <f>IF(ISERROR(SEARCH(Cover!$C$4,$G202)),0,1)</f>
        <v>0</v>
      </c>
      <c r="I202" s="61" t="str">
        <f>IF($H202=0,"",COUNTIF($H$2:H202,1))</f>
        <v/>
      </c>
      <c r="J202" s="61" t="str">
        <f t="shared" si="10"/>
        <v/>
      </c>
      <c r="K202" s="61" t="str">
        <f t="shared" si="11"/>
        <v>State Charter</v>
      </c>
    </row>
    <row r="203" spans="1:11" x14ac:dyDescent="0.25">
      <c r="A203" s="66" t="s">
        <v>566</v>
      </c>
      <c r="B203" s="66" t="s">
        <v>567</v>
      </c>
      <c r="C203" s="66" t="s">
        <v>114</v>
      </c>
      <c r="D203" s="59" t="s">
        <v>108</v>
      </c>
      <c r="E203" s="59" t="s">
        <v>761</v>
      </c>
      <c r="F203" s="60">
        <f t="shared" si="9"/>
        <v>174</v>
      </c>
      <c r="G203" s="60" t="str">
        <f>IFERROR(INDEX($A$2:$A$226,MATCH(ROWS($F$2:F203),$F$2:$F$226,0)),"")</f>
        <v/>
      </c>
      <c r="H203" s="61">
        <f>IF(ISERROR(SEARCH(Cover!$C$4,$G203)),0,1)</f>
        <v>0</v>
      </c>
      <c r="I203" s="61" t="str">
        <f>IF($H203=0,"",COUNTIF($H$2:H203,1))</f>
        <v/>
      </c>
      <c r="J203" s="61" t="str">
        <f t="shared" si="10"/>
        <v/>
      </c>
      <c r="K203" s="61" t="str">
        <f t="shared" si="11"/>
        <v>State Charter</v>
      </c>
    </row>
    <row r="204" spans="1:11" x14ac:dyDescent="0.25">
      <c r="A204" s="66" t="s">
        <v>568</v>
      </c>
      <c r="B204" s="66" t="s">
        <v>569</v>
      </c>
      <c r="C204" s="66" t="s">
        <v>107</v>
      </c>
      <c r="D204" s="59" t="s">
        <v>115</v>
      </c>
      <c r="E204" s="59" t="s">
        <v>762</v>
      </c>
      <c r="F204" s="60">
        <f t="shared" si="9"/>
        <v>182</v>
      </c>
      <c r="G204" s="60" t="str">
        <f>IFERROR(INDEX($A$2:$A$226,MATCH(ROWS($F$2:F204),$F$2:$F$226,0)),"")</f>
        <v/>
      </c>
      <c r="H204" s="61">
        <f>IF(ISERROR(SEARCH(Cover!$C$4,$G204)),0,1)</f>
        <v>0</v>
      </c>
      <c r="I204" s="61" t="str">
        <f>IF($H204=0,"",COUNTIF($H$2:H204,1))</f>
        <v/>
      </c>
      <c r="J204" s="61" t="str">
        <f t="shared" si="10"/>
        <v/>
      </c>
      <c r="K204" s="61" t="str">
        <f t="shared" si="11"/>
        <v>Local Charter</v>
      </c>
    </row>
    <row r="205" spans="1:11" x14ac:dyDescent="0.25">
      <c r="A205" s="59"/>
      <c r="B205" s="59"/>
      <c r="C205" s="59"/>
      <c r="D205" s="59"/>
      <c r="E205" s="59"/>
      <c r="F205" s="60">
        <f t="shared" si="9"/>
        <v>0</v>
      </c>
      <c r="G205" s="60" t="str">
        <f>IFERROR(INDEX($A$2:$A$226,MATCH(ROWS($F$2:F205),$F$2:$F$226,0)),"")</f>
        <v/>
      </c>
      <c r="H205" s="61">
        <f>IF(ISERROR(SEARCH(Cover!$C$4,$G205)),0,1)</f>
        <v>0</v>
      </c>
      <c r="I205" s="61" t="str">
        <f>IF($H205=0,"",COUNTIF($H$2:H205,1))</f>
        <v/>
      </c>
      <c r="J205" s="61" t="str">
        <f t="shared" si="10"/>
        <v/>
      </c>
      <c r="K205" s="61" t="str">
        <f t="shared" si="11"/>
        <v/>
      </c>
    </row>
    <row r="206" spans="1:11" x14ac:dyDescent="0.25">
      <c r="A206" s="59"/>
      <c r="B206" s="59"/>
      <c r="C206" s="59"/>
      <c r="D206" s="59"/>
      <c r="E206" s="59"/>
      <c r="F206" s="60">
        <f t="shared" si="9"/>
        <v>0</v>
      </c>
      <c r="G206" s="60" t="str">
        <f>IFERROR(INDEX($A$2:$A$226,MATCH(ROWS($F$2:F206),$F$2:$F$226,0)),"")</f>
        <v/>
      </c>
      <c r="H206" s="61">
        <f>IF(ISERROR(SEARCH(Cover!$C$4,$G206)),0,1)</f>
        <v>0</v>
      </c>
      <c r="I206" s="61" t="str">
        <f>IF($H206=0,"",COUNTIF($H$2:H206,1))</f>
        <v/>
      </c>
      <c r="J206" s="61" t="str">
        <f t="shared" si="10"/>
        <v/>
      </c>
      <c r="K206" s="61" t="str">
        <f t="shared" si="11"/>
        <v/>
      </c>
    </row>
    <row r="207" spans="1:11" x14ac:dyDescent="0.25">
      <c r="A207" s="59"/>
      <c r="B207" s="59"/>
      <c r="C207" s="59"/>
      <c r="D207" s="59"/>
      <c r="E207" s="59"/>
      <c r="F207" s="60">
        <f t="shared" si="9"/>
        <v>0</v>
      </c>
      <c r="G207" s="60" t="str">
        <f>IFERROR(INDEX($A$2:$A$226,MATCH(ROWS($F$2:F207),$F$2:$F$226,0)),"")</f>
        <v/>
      </c>
      <c r="H207" s="61">
        <f>IF(ISERROR(SEARCH(Cover!$C$4,$G207)),0,1)</f>
        <v>0</v>
      </c>
      <c r="I207" s="61" t="str">
        <f>IF($H207=0,"",COUNTIF($H$2:H207,1))</f>
        <v/>
      </c>
      <c r="J207" s="61" t="str">
        <f t="shared" si="10"/>
        <v/>
      </c>
      <c r="K207" s="61" t="str">
        <f t="shared" si="11"/>
        <v/>
      </c>
    </row>
    <row r="208" spans="1:11" x14ac:dyDescent="0.25">
      <c r="A208" s="59"/>
      <c r="B208" s="59"/>
      <c r="C208" s="59"/>
      <c r="D208" s="59"/>
      <c r="E208" s="59"/>
      <c r="F208" s="60">
        <f t="shared" si="9"/>
        <v>0</v>
      </c>
      <c r="G208" s="60" t="str">
        <f>IFERROR(INDEX($A$2:$A$226,MATCH(ROWS($F$2:F208),$F$2:$F$226,0)),"")</f>
        <v/>
      </c>
      <c r="H208" s="61">
        <f>IF(ISERROR(SEARCH(Cover!$C$4,$G208)),0,1)</f>
        <v>0</v>
      </c>
      <c r="I208" s="61" t="str">
        <f>IF($H208=0,"",COUNTIF($H$2:H208,1))</f>
        <v/>
      </c>
      <c r="J208" s="61" t="str">
        <f t="shared" si="10"/>
        <v/>
      </c>
      <c r="K208" s="61" t="str">
        <f t="shared" si="11"/>
        <v/>
      </c>
    </row>
    <row r="209" spans="1:11" x14ac:dyDescent="0.25">
      <c r="A209" s="59"/>
      <c r="B209" s="59"/>
      <c r="C209" s="59"/>
      <c r="D209" s="59"/>
      <c r="E209" s="59"/>
      <c r="F209" s="60">
        <f t="shared" si="9"/>
        <v>0</v>
      </c>
      <c r="G209" s="60" t="str">
        <f>IFERROR(INDEX($A$2:$A$226,MATCH(ROWS($F$2:F209),$F$2:$F$226,0)),"")</f>
        <v/>
      </c>
      <c r="H209" s="61">
        <f>IF(ISERROR(SEARCH(Cover!$C$4,$G209)),0,1)</f>
        <v>0</v>
      </c>
      <c r="I209" s="61" t="str">
        <f>IF($H209=0,"",COUNTIF($H$2:H209,1))</f>
        <v/>
      </c>
      <c r="J209" s="61" t="str">
        <f t="shared" si="10"/>
        <v/>
      </c>
      <c r="K209" s="61" t="str">
        <f t="shared" si="11"/>
        <v/>
      </c>
    </row>
    <row r="210" spans="1:11" x14ac:dyDescent="0.25">
      <c r="A210" s="59"/>
      <c r="B210" s="59"/>
      <c r="C210" s="59"/>
      <c r="D210" s="59"/>
      <c r="E210" s="59"/>
      <c r="F210" s="60">
        <f t="shared" si="9"/>
        <v>0</v>
      </c>
      <c r="G210" s="60" t="str">
        <f>IFERROR(INDEX($A$2:$A$226,MATCH(ROWS($F$2:F210),$F$2:$F$226,0)),"")</f>
        <v/>
      </c>
      <c r="H210" s="61">
        <f>IF(ISERROR(SEARCH(Cover!$C$4,$G210)),0,1)</f>
        <v>0</v>
      </c>
      <c r="I210" s="61" t="str">
        <f>IF($H210=0,"",COUNTIF($H$2:H210,1))</f>
        <v/>
      </c>
      <c r="J210" s="61" t="str">
        <f t="shared" si="10"/>
        <v/>
      </c>
      <c r="K210" s="61" t="str">
        <f t="shared" si="11"/>
        <v/>
      </c>
    </row>
    <row r="211" spans="1:11" x14ac:dyDescent="0.25">
      <c r="A211" s="59"/>
      <c r="B211" s="59"/>
      <c r="C211" s="59"/>
      <c r="D211" s="59"/>
      <c r="E211" s="59"/>
      <c r="F211" s="60">
        <f t="shared" si="9"/>
        <v>0</v>
      </c>
      <c r="G211" s="60" t="str">
        <f>IFERROR(INDEX($A$2:$A$226,MATCH(ROWS($F$2:F211),$F$2:$F$226,0)),"")</f>
        <v/>
      </c>
      <c r="H211" s="61">
        <f>IF(ISERROR(SEARCH(Cover!$C$4,$G211)),0,1)</f>
        <v>0</v>
      </c>
      <c r="I211" s="61" t="str">
        <f>IF($H211=0,"",COUNTIF($H$2:H211,1))</f>
        <v/>
      </c>
      <c r="J211" s="61" t="str">
        <f t="shared" si="10"/>
        <v/>
      </c>
      <c r="K211" s="61" t="str">
        <f t="shared" si="11"/>
        <v/>
      </c>
    </row>
    <row r="212" spans="1:11" x14ac:dyDescent="0.25">
      <c r="A212" s="59"/>
      <c r="B212" s="59"/>
      <c r="C212" s="59"/>
      <c r="D212" s="59"/>
      <c r="E212" s="59"/>
      <c r="F212" s="60">
        <f t="shared" si="9"/>
        <v>0</v>
      </c>
      <c r="G212" s="60" t="str">
        <f>IFERROR(INDEX($A$2:$A$226,MATCH(ROWS($F$2:F212),$F$2:$F$226,0)),"")</f>
        <v/>
      </c>
      <c r="H212" s="61">
        <f>IF(ISERROR(SEARCH(Cover!$C$4,$G212)),0,1)</f>
        <v>0</v>
      </c>
      <c r="I212" s="61" t="str">
        <f>IF($H212=0,"",COUNTIF($H$2:H212,1))</f>
        <v/>
      </c>
      <c r="J212" s="61" t="str">
        <f t="shared" si="10"/>
        <v/>
      </c>
      <c r="K212" s="61" t="str">
        <f t="shared" si="11"/>
        <v/>
      </c>
    </row>
    <row r="213" spans="1:11" x14ac:dyDescent="0.25">
      <c r="A213" s="59"/>
      <c r="B213" s="59"/>
      <c r="C213" s="59"/>
      <c r="D213" s="59"/>
      <c r="E213" s="59"/>
      <c r="F213" s="60">
        <f t="shared" si="9"/>
        <v>0</v>
      </c>
      <c r="G213" s="60" t="str">
        <f>IFERROR(INDEX($A$2:$A$226,MATCH(ROWS($F$2:F213),$F$2:$F$226,0)),"")</f>
        <v/>
      </c>
      <c r="H213" s="61">
        <f>IF(ISERROR(SEARCH(Cover!$C$4,$G213)),0,1)</f>
        <v>0</v>
      </c>
      <c r="I213" s="61" t="str">
        <f>IF($H213=0,"",COUNTIF($H$2:H213,1))</f>
        <v/>
      </c>
      <c r="J213" s="61" t="str">
        <f t="shared" si="10"/>
        <v/>
      </c>
      <c r="K213" s="61" t="str">
        <f t="shared" si="11"/>
        <v/>
      </c>
    </row>
    <row r="214" spans="1:11" x14ac:dyDescent="0.25">
      <c r="A214" s="59"/>
      <c r="B214" s="59"/>
      <c r="C214" s="59"/>
      <c r="D214" s="59"/>
      <c r="E214" s="59"/>
      <c r="F214" s="60">
        <f t="shared" si="9"/>
        <v>0</v>
      </c>
      <c r="G214" s="60" t="str">
        <f>IFERROR(INDEX($A$2:$A$226,MATCH(ROWS($F$2:F214),$F$2:$F$226,0)),"")</f>
        <v/>
      </c>
      <c r="H214" s="61">
        <f>IF(ISERROR(SEARCH(Cover!$C$4,$G214)),0,1)</f>
        <v>0</v>
      </c>
      <c r="I214" s="61" t="str">
        <f>IF($H214=0,"",COUNTIF($H$2:H214,1))</f>
        <v/>
      </c>
      <c r="J214" s="61" t="str">
        <f t="shared" si="10"/>
        <v/>
      </c>
      <c r="K214" s="61" t="str">
        <f t="shared" si="11"/>
        <v/>
      </c>
    </row>
    <row r="215" spans="1:11" x14ac:dyDescent="0.25">
      <c r="A215" s="59"/>
      <c r="B215" s="59"/>
      <c r="C215" s="59"/>
      <c r="D215" s="59"/>
      <c r="E215" s="59"/>
      <c r="F215" s="60">
        <f t="shared" si="9"/>
        <v>0</v>
      </c>
      <c r="G215" s="60" t="str">
        <f>IFERROR(INDEX($A$2:$A$226,MATCH(ROWS($F$2:F215),$F$2:$F$226,0)),"")</f>
        <v/>
      </c>
      <c r="H215" s="61">
        <f>IF(ISERROR(SEARCH(Cover!$C$4,$G215)),0,1)</f>
        <v>0</v>
      </c>
      <c r="I215" s="61" t="str">
        <f>IF($H215=0,"",COUNTIF($H$2:H215,1))</f>
        <v/>
      </c>
      <c r="J215" s="61" t="str">
        <f t="shared" si="10"/>
        <v/>
      </c>
      <c r="K215" s="61" t="str">
        <f t="shared" si="11"/>
        <v/>
      </c>
    </row>
    <row r="216" spans="1:11" x14ac:dyDescent="0.25">
      <c r="A216" s="59"/>
      <c r="B216" s="59"/>
      <c r="C216" s="59"/>
      <c r="D216" s="59"/>
      <c r="E216" s="59"/>
      <c r="F216" s="60">
        <f t="shared" si="9"/>
        <v>0</v>
      </c>
      <c r="G216" s="60" t="str">
        <f>IFERROR(INDEX($A$2:$A$226,MATCH(ROWS($F$2:F216),$F$2:$F$226,0)),"")</f>
        <v/>
      </c>
      <c r="H216" s="61">
        <f>IF(ISERROR(SEARCH(Cover!$C$4,$G216)),0,1)</f>
        <v>0</v>
      </c>
      <c r="I216" s="61" t="str">
        <f>IF($H216=0,"",COUNTIF($H$2:H216,1))</f>
        <v/>
      </c>
      <c r="J216" s="61" t="str">
        <f t="shared" si="10"/>
        <v/>
      </c>
      <c r="K216" s="61" t="str">
        <f t="shared" si="11"/>
        <v/>
      </c>
    </row>
    <row r="217" spans="1:11" x14ac:dyDescent="0.25">
      <c r="A217" s="59"/>
      <c r="B217" s="59"/>
      <c r="C217" s="59"/>
      <c r="D217" s="59"/>
      <c r="E217" s="59"/>
      <c r="F217" s="60">
        <f t="shared" si="9"/>
        <v>0</v>
      </c>
      <c r="G217" s="60" t="str">
        <f>IFERROR(INDEX($A$2:$A$226,MATCH(ROWS($F$2:F217),$F$2:$F$226,0)),"")</f>
        <v/>
      </c>
      <c r="H217" s="61">
        <f>IF(ISERROR(SEARCH(Cover!$C$4,$G217)),0,1)</f>
        <v>0</v>
      </c>
      <c r="I217" s="61" t="str">
        <f>IF($H217=0,"",COUNTIF($H$2:H217,1))</f>
        <v/>
      </c>
      <c r="J217" s="61" t="str">
        <f t="shared" si="10"/>
        <v/>
      </c>
      <c r="K217" s="61" t="str">
        <f t="shared" si="11"/>
        <v/>
      </c>
    </row>
    <row r="218" spans="1:11" x14ac:dyDescent="0.25">
      <c r="A218" s="59"/>
      <c r="B218" s="59"/>
      <c r="C218" s="59"/>
      <c r="D218" s="59"/>
      <c r="E218" s="59"/>
      <c r="F218" s="60">
        <f t="shared" si="9"/>
        <v>0</v>
      </c>
      <c r="G218" s="60" t="str">
        <f>IFERROR(INDEX($A$2:$A$226,MATCH(ROWS($F$2:F218),$F$2:$F$226,0)),"")</f>
        <v/>
      </c>
      <c r="H218" s="61">
        <f>IF(ISERROR(SEARCH(Cover!$C$4,$G218)),0,1)</f>
        <v>0</v>
      </c>
      <c r="I218" s="61" t="str">
        <f>IF($H218=0,"",COUNTIF($H$2:H218,1))</f>
        <v/>
      </c>
      <c r="J218" s="61" t="str">
        <f t="shared" si="10"/>
        <v/>
      </c>
      <c r="K218" s="61" t="str">
        <f t="shared" si="11"/>
        <v/>
      </c>
    </row>
    <row r="219" spans="1:11" x14ac:dyDescent="0.25">
      <c r="A219" s="59"/>
      <c r="B219" s="59"/>
      <c r="C219" s="59"/>
      <c r="D219" s="59"/>
      <c r="E219" s="59"/>
      <c r="F219" s="60">
        <f t="shared" si="9"/>
        <v>0</v>
      </c>
      <c r="G219" s="60" t="str">
        <f>IFERROR(INDEX($A$2:$A$226,MATCH(ROWS($F$2:F219),$F$2:$F$226,0)),"")</f>
        <v/>
      </c>
      <c r="H219" s="61">
        <f>IF(ISERROR(SEARCH(Cover!$C$4,$G219)),0,1)</f>
        <v>0</v>
      </c>
      <c r="I219" s="61" t="str">
        <f>IF($H219=0,"",COUNTIF($H$2:H219,1))</f>
        <v/>
      </c>
      <c r="J219" s="61" t="str">
        <f t="shared" si="10"/>
        <v/>
      </c>
      <c r="K219" s="61" t="str">
        <f t="shared" si="11"/>
        <v/>
      </c>
    </row>
    <row r="220" spans="1:11" x14ac:dyDescent="0.25">
      <c r="A220" s="59"/>
      <c r="B220" s="59"/>
      <c r="C220" s="59"/>
      <c r="D220" s="59"/>
      <c r="E220" s="59"/>
      <c r="F220" s="60">
        <f t="shared" si="9"/>
        <v>0</v>
      </c>
      <c r="G220" s="60" t="str">
        <f>IFERROR(INDEX($A$2:$A$226,MATCH(ROWS($F$2:F220),$F$2:$F$226,0)),"")</f>
        <v/>
      </c>
      <c r="H220" s="61">
        <f>IF(ISERROR(SEARCH(Cover!$C$4,$G220)),0,1)</f>
        <v>0</v>
      </c>
      <c r="I220" s="61" t="str">
        <f>IF($H220=0,"",COUNTIF($H$2:H220,1))</f>
        <v/>
      </c>
      <c r="J220" s="61" t="str">
        <f t="shared" si="10"/>
        <v/>
      </c>
      <c r="K220" s="61" t="str">
        <f t="shared" si="11"/>
        <v/>
      </c>
    </row>
    <row r="221" spans="1:11" x14ac:dyDescent="0.25">
      <c r="A221" s="59"/>
      <c r="B221" s="59"/>
      <c r="C221" s="59"/>
      <c r="D221" s="59"/>
      <c r="E221" s="59"/>
      <c r="F221" s="60">
        <f t="shared" si="9"/>
        <v>0</v>
      </c>
      <c r="G221" s="60" t="str">
        <f>IFERROR(INDEX($A$2:$A$226,MATCH(ROWS($F$2:F221),$F$2:$F$226,0)),"")</f>
        <v/>
      </c>
      <c r="H221" s="61">
        <f>IF(ISERROR(SEARCH(Cover!$C$4,$G221)),0,1)</f>
        <v>0</v>
      </c>
      <c r="I221" s="61" t="str">
        <f>IF($H221=0,"",COUNTIF($H$2:H221,1))</f>
        <v/>
      </c>
      <c r="J221" s="61" t="str">
        <f t="shared" si="10"/>
        <v/>
      </c>
      <c r="K221" s="61" t="str">
        <f t="shared" si="11"/>
        <v/>
      </c>
    </row>
    <row r="222" spans="1:11" x14ac:dyDescent="0.25">
      <c r="A222" s="59"/>
      <c r="B222" s="59"/>
      <c r="C222" s="59"/>
      <c r="D222" s="59"/>
      <c r="E222" s="59"/>
      <c r="F222" s="60">
        <f t="shared" si="9"/>
        <v>0</v>
      </c>
      <c r="G222" s="60" t="str">
        <f>IFERROR(INDEX($A$2:$A$226,MATCH(ROWS($F$2:F222),$F$2:$F$226,0)),"")</f>
        <v/>
      </c>
      <c r="H222" s="61">
        <f>IF(ISERROR(SEARCH(Cover!$C$4,$G222)),0,1)</f>
        <v>0</v>
      </c>
      <c r="I222" s="61" t="str">
        <f>IF($H222=0,"",COUNTIF($H$2:H222,1))</f>
        <v/>
      </c>
      <c r="J222" s="61" t="str">
        <f t="shared" si="10"/>
        <v/>
      </c>
      <c r="K222" s="61" t="str">
        <f t="shared" si="11"/>
        <v/>
      </c>
    </row>
    <row r="223" spans="1:11" x14ac:dyDescent="0.25">
      <c r="A223" s="59"/>
      <c r="B223" s="59"/>
      <c r="C223" s="59"/>
      <c r="D223" s="59"/>
      <c r="E223" s="59"/>
      <c r="F223" s="60">
        <f t="shared" si="9"/>
        <v>0</v>
      </c>
      <c r="G223" s="60" t="str">
        <f>IFERROR(INDEX($A$2:$A$226,MATCH(ROWS($F$2:F223),$F$2:$F$226,0)),"")</f>
        <v/>
      </c>
      <c r="H223" s="61">
        <f>IF(ISERROR(SEARCH(Cover!$C$4,$G223)),0,1)</f>
        <v>0</v>
      </c>
      <c r="I223" s="61" t="str">
        <f>IF($H223=0,"",COUNTIF($H$2:H223,1))</f>
        <v/>
      </c>
      <c r="J223" s="61" t="str">
        <f t="shared" si="10"/>
        <v/>
      </c>
      <c r="K223" s="61" t="str">
        <f t="shared" si="11"/>
        <v/>
      </c>
    </row>
    <row r="224" spans="1:11" x14ac:dyDescent="0.25">
      <c r="A224" s="59"/>
      <c r="B224" s="59"/>
      <c r="C224" s="59"/>
      <c r="D224" s="59"/>
      <c r="E224" s="59"/>
      <c r="F224" s="60">
        <f t="shared" si="9"/>
        <v>0</v>
      </c>
      <c r="G224" s="60" t="str">
        <f>IFERROR(INDEX($A$2:$A$226,MATCH(ROWS($F$2:F224),$F$2:$F$226,0)),"")</f>
        <v/>
      </c>
      <c r="H224" s="61">
        <f>IF(ISERROR(SEARCH(Cover!$C$4,$G224)),0,1)</f>
        <v>0</v>
      </c>
      <c r="I224" s="61" t="str">
        <f>IF($H224=0,"",COUNTIF($H$2:H224,1))</f>
        <v/>
      </c>
      <c r="J224" s="61" t="str">
        <f t="shared" si="10"/>
        <v/>
      </c>
      <c r="K224" s="61" t="str">
        <f t="shared" si="11"/>
        <v/>
      </c>
    </row>
    <row r="225" spans="1:11" x14ac:dyDescent="0.25">
      <c r="A225" s="59"/>
      <c r="B225" s="59"/>
      <c r="C225" s="59"/>
      <c r="D225" s="59"/>
      <c r="E225" s="59"/>
      <c r="F225" s="60">
        <f t="shared" si="9"/>
        <v>0</v>
      </c>
      <c r="G225" s="60" t="str">
        <f>IFERROR(INDEX($A$2:$A$226,MATCH(ROWS($F$2:F225),$F$2:$F$226,0)),"")</f>
        <v/>
      </c>
      <c r="H225" s="61">
        <f>IF(ISERROR(SEARCH(Cover!$C$4,$G225)),0,1)</f>
        <v>0</v>
      </c>
      <c r="I225" s="61" t="str">
        <f>IF($H225=0,"",COUNTIF($H$2:H225,1))</f>
        <v/>
      </c>
      <c r="J225" s="61" t="str">
        <f t="shared" si="10"/>
        <v/>
      </c>
      <c r="K225" s="61" t="str">
        <f t="shared" si="11"/>
        <v/>
      </c>
    </row>
    <row r="226" spans="1:11" x14ac:dyDescent="0.25">
      <c r="A226" s="59"/>
      <c r="B226" s="59"/>
      <c r="C226" s="59"/>
      <c r="D226" s="59"/>
      <c r="E226" s="59"/>
      <c r="F226" s="60">
        <f t="shared" si="9"/>
        <v>0</v>
      </c>
      <c r="G226" s="60" t="str">
        <f>IFERROR(INDEX($A$2:$A$226,MATCH(ROWS($F$2:F226),$F$2:$F$226,0)),"")</f>
        <v/>
      </c>
      <c r="H226" s="61">
        <f>IF(ISERROR(SEARCH(Cover!$C$4,$G226)),0,1)</f>
        <v>0</v>
      </c>
      <c r="I226" s="61" t="str">
        <f>IF($H226=0,"",COUNTIF($H$2:H226,1))</f>
        <v/>
      </c>
      <c r="J226" s="61" t="str">
        <f t="shared" si="10"/>
        <v/>
      </c>
      <c r="K226" s="61" t="str">
        <f t="shared" si="11"/>
        <v/>
      </c>
    </row>
    <row r="227" spans="1:11" x14ac:dyDescent="0.25">
      <c r="A227" s="59"/>
      <c r="B227" s="59"/>
      <c r="C227" s="59"/>
      <c r="D227" s="59"/>
      <c r="E227" s="59"/>
      <c r="F227" s="60">
        <f t="shared" si="9"/>
        <v>0</v>
      </c>
      <c r="G227" s="60" t="str">
        <f>IFERROR(INDEX($A$2:$A$226,MATCH(ROWS($F$2:F227),$F$2:$F$226,0)),"")</f>
        <v/>
      </c>
      <c r="H227" s="61">
        <f>IF(ISERROR(SEARCH(Cover!$C$4,$G227)),0,1)</f>
        <v>0</v>
      </c>
      <c r="I227" s="61" t="str">
        <f>IF($H227=0,"",COUNTIF($H$2:H227,1))</f>
        <v/>
      </c>
      <c r="J227" s="61" t="str">
        <f t="shared" si="10"/>
        <v/>
      </c>
      <c r="K227" s="61" t="str">
        <f t="shared" si="11"/>
        <v/>
      </c>
    </row>
    <row r="228" spans="1:11" x14ac:dyDescent="0.25">
      <c r="A228" s="59"/>
      <c r="B228" s="59"/>
      <c r="C228" s="59"/>
      <c r="D228" s="59"/>
      <c r="E228" s="59"/>
      <c r="F228" s="60">
        <f t="shared" si="9"/>
        <v>0</v>
      </c>
      <c r="G228" s="60" t="str">
        <f>IFERROR(INDEX($A$2:$A$226,MATCH(ROWS($F$2:F228),$F$2:$F$226,0)),"")</f>
        <v/>
      </c>
      <c r="H228" s="61">
        <f>IF(ISERROR(SEARCH(Cover!$C$4,$G228)),0,1)</f>
        <v>0</v>
      </c>
      <c r="I228" s="61" t="str">
        <f>IF($H228=0,"",COUNTIF($H$2:H228,1))</f>
        <v/>
      </c>
      <c r="J228" s="61" t="str">
        <f t="shared" si="10"/>
        <v/>
      </c>
      <c r="K228" s="61" t="str">
        <f t="shared" si="11"/>
        <v/>
      </c>
    </row>
    <row r="229" spans="1:11" x14ac:dyDescent="0.25">
      <c r="A229" s="59"/>
      <c r="B229" s="59"/>
      <c r="C229" s="59"/>
      <c r="D229" s="59"/>
      <c r="E229" s="59"/>
      <c r="F229" s="60">
        <f t="shared" si="9"/>
        <v>0</v>
      </c>
      <c r="G229" s="60" t="str">
        <f>IFERROR(INDEX($A$2:$A$226,MATCH(ROWS($F$2:F229),$F$2:$F$226,0)),"")</f>
        <v/>
      </c>
      <c r="H229" s="61">
        <f>IF(ISERROR(SEARCH(Cover!$C$4,$G229)),0,1)</f>
        <v>0</v>
      </c>
      <c r="I229" s="61" t="str">
        <f>IF($H229=0,"",COUNTIF($H$2:H229,1))</f>
        <v/>
      </c>
      <c r="J229" s="61" t="str">
        <f t="shared" si="10"/>
        <v/>
      </c>
      <c r="K229" s="61" t="str">
        <f t="shared" si="11"/>
        <v/>
      </c>
    </row>
    <row r="230" spans="1:11" x14ac:dyDescent="0.25">
      <c r="A230" s="59"/>
      <c r="B230" s="59"/>
      <c r="C230" s="59"/>
      <c r="D230" s="59"/>
      <c r="E230" s="59"/>
      <c r="F230" s="60">
        <f t="shared" si="9"/>
        <v>0</v>
      </c>
      <c r="G230" s="60" t="str">
        <f>IFERROR(INDEX($A$2:$A$226,MATCH(ROWS($F$2:F230),$F$2:$F$226,0)),"")</f>
        <v/>
      </c>
      <c r="H230" s="61">
        <f>IF(ISERROR(SEARCH(Cover!$C$4,$G230)),0,1)</f>
        <v>0</v>
      </c>
      <c r="I230" s="61" t="str">
        <f>IF($H230=0,"",COUNTIF($H$2:H230,1))</f>
        <v/>
      </c>
      <c r="J230" s="61" t="str">
        <f t="shared" si="10"/>
        <v/>
      </c>
      <c r="K230" s="61" t="str">
        <f t="shared" si="11"/>
        <v/>
      </c>
    </row>
    <row r="231" spans="1:11" x14ac:dyDescent="0.25">
      <c r="A231" s="59"/>
      <c r="B231" s="59"/>
      <c r="C231" s="59"/>
      <c r="D231" s="59"/>
      <c r="E231" s="59"/>
      <c r="F231" s="60">
        <f t="shared" si="9"/>
        <v>0</v>
      </c>
      <c r="G231" s="60" t="str">
        <f>IFERROR(INDEX($A$2:$A$226,MATCH(ROWS($F$2:F231),$F$2:$F$226,0)),"")</f>
        <v/>
      </c>
      <c r="H231" s="61">
        <f>IF(ISERROR(SEARCH(Cover!$C$4,$G231)),0,1)</f>
        <v>0</v>
      </c>
      <c r="I231" s="61" t="str">
        <f>IF($H231=0,"",COUNTIF($H$2:H231,1))</f>
        <v/>
      </c>
      <c r="J231" s="61" t="str">
        <f t="shared" si="10"/>
        <v/>
      </c>
      <c r="K231" s="61" t="str">
        <f t="shared" si="11"/>
        <v/>
      </c>
    </row>
    <row r="232" spans="1:11" x14ac:dyDescent="0.25">
      <c r="A232" s="59"/>
      <c r="B232" s="59"/>
      <c r="C232" s="59"/>
      <c r="D232" s="59"/>
      <c r="E232" s="59"/>
      <c r="F232" s="60">
        <f t="shared" si="9"/>
        <v>0</v>
      </c>
      <c r="G232" s="60" t="str">
        <f>IFERROR(INDEX($A$2:$A$226,MATCH(ROWS($F$2:F232),$F$2:$F$226,0)),"")</f>
        <v/>
      </c>
      <c r="H232" s="61">
        <f>IF(ISERROR(SEARCH(Cover!$C$4,$G232)),0,1)</f>
        <v>0</v>
      </c>
      <c r="I232" s="61" t="str">
        <f>IF($H232=0,"",COUNTIF($H$2:H232,1))</f>
        <v/>
      </c>
      <c r="J232" s="61" t="str">
        <f t="shared" si="10"/>
        <v/>
      </c>
      <c r="K232" s="61" t="str">
        <f t="shared" si="11"/>
        <v/>
      </c>
    </row>
    <row r="233" spans="1:11" x14ac:dyDescent="0.25">
      <c r="A233" s="59"/>
      <c r="B233" s="59"/>
      <c r="C233" s="59"/>
      <c r="D233" s="59"/>
      <c r="E233" s="59"/>
      <c r="F233" s="60">
        <f t="shared" si="9"/>
        <v>0</v>
      </c>
      <c r="G233" s="60" t="str">
        <f>IFERROR(INDEX($A$2:$A$226,MATCH(ROWS($F$2:F233),$F$2:$F$226,0)),"")</f>
        <v/>
      </c>
      <c r="H233" s="61">
        <f>IF(ISERROR(SEARCH(Cover!$C$4,$G233)),0,1)</f>
        <v>0</v>
      </c>
      <c r="I233" s="61" t="str">
        <f>IF($H233=0,"",COUNTIF($H$2:H233,1))</f>
        <v/>
      </c>
      <c r="J233" s="61" t="str">
        <f t="shared" si="10"/>
        <v/>
      </c>
      <c r="K233" s="61" t="str">
        <f t="shared" si="11"/>
        <v/>
      </c>
    </row>
    <row r="234" spans="1:11" x14ac:dyDescent="0.25">
      <c r="A234" s="59"/>
      <c r="B234" s="59"/>
      <c r="C234" s="59"/>
      <c r="D234" s="59"/>
      <c r="E234" s="59"/>
      <c r="F234" s="60">
        <f t="shared" si="9"/>
        <v>0</v>
      </c>
      <c r="G234" s="60" t="str">
        <f>IFERROR(INDEX($A$2:$A$226,MATCH(ROWS($F$2:F234),$F$2:$F$226,0)),"")</f>
        <v/>
      </c>
      <c r="H234" s="61">
        <f>IF(ISERROR(SEARCH(Cover!$C$4,$G234)),0,1)</f>
        <v>0</v>
      </c>
      <c r="I234" s="61" t="str">
        <f>IF($H234=0,"",COUNTIF($H$2:H234,1))</f>
        <v/>
      </c>
      <c r="J234" s="61" t="str">
        <f t="shared" si="10"/>
        <v/>
      </c>
      <c r="K234" s="61" t="str">
        <f t="shared" si="11"/>
        <v/>
      </c>
    </row>
    <row r="235" spans="1:11" x14ac:dyDescent="0.25">
      <c r="A235" s="59"/>
      <c r="B235" s="59"/>
      <c r="C235" s="59"/>
      <c r="D235" s="59"/>
      <c r="E235" s="59"/>
      <c r="F235" s="60">
        <f t="shared" si="9"/>
        <v>0</v>
      </c>
      <c r="G235" s="60" t="str">
        <f>IFERROR(INDEX($A$2:$A$226,MATCH(ROWS($F$2:F235),$F$2:$F$226,0)),"")</f>
        <v/>
      </c>
      <c r="H235" s="61">
        <f>IF(ISERROR(SEARCH(Cover!$C$4,$G235)),0,1)</f>
        <v>0</v>
      </c>
      <c r="I235" s="61" t="str">
        <f>IF($H235=0,"",COUNTIF($H$2:H235,1))</f>
        <v/>
      </c>
      <c r="J235" s="61" t="str">
        <f t="shared" si="10"/>
        <v/>
      </c>
      <c r="K235" s="61" t="str">
        <f t="shared" si="11"/>
        <v/>
      </c>
    </row>
    <row r="236" spans="1:11" x14ac:dyDescent="0.25">
      <c r="A236" s="59"/>
      <c r="B236" s="59"/>
      <c r="C236" s="59"/>
      <c r="D236" s="59"/>
      <c r="E236" s="59"/>
      <c r="F236" s="60">
        <f t="shared" si="9"/>
        <v>0</v>
      </c>
      <c r="G236" s="60" t="str">
        <f>IFERROR(INDEX($A$2:$A$226,MATCH(ROWS($F$2:F236),$F$2:$F$226,0)),"")</f>
        <v/>
      </c>
      <c r="H236" s="61">
        <f>IF(ISERROR(SEARCH(Cover!$C$4,$G236)),0,1)</f>
        <v>0</v>
      </c>
      <c r="I236" s="61" t="str">
        <f>IF($H236=0,"",COUNTIF($H$2:H236,1))</f>
        <v/>
      </c>
      <c r="J236" s="61" t="str">
        <f t="shared" si="10"/>
        <v/>
      </c>
      <c r="K236" s="61" t="str">
        <f t="shared" si="11"/>
        <v/>
      </c>
    </row>
    <row r="237" spans="1:11" x14ac:dyDescent="0.25">
      <c r="A237" s="59"/>
      <c r="B237" s="59"/>
      <c r="C237" s="59"/>
      <c r="D237" s="59"/>
      <c r="E237" s="59"/>
      <c r="F237" s="60">
        <f t="shared" si="9"/>
        <v>0</v>
      </c>
      <c r="G237" s="60" t="str">
        <f>IFERROR(INDEX($A$2:$A$226,MATCH(ROWS($F$2:F237),$F$2:$F$226,0)),"")</f>
        <v/>
      </c>
      <c r="H237" s="61">
        <f>IF(ISERROR(SEARCH(Cover!$C$4,$G237)),0,1)</f>
        <v>0</v>
      </c>
      <c r="I237" s="61" t="str">
        <f>IF($H237=0,"",COUNTIF($H$2:H237,1))</f>
        <v/>
      </c>
      <c r="J237" s="61" t="str">
        <f t="shared" si="10"/>
        <v/>
      </c>
      <c r="K237" s="61" t="str">
        <f t="shared" si="11"/>
        <v/>
      </c>
    </row>
    <row r="238" spans="1:11" x14ac:dyDescent="0.25">
      <c r="A238" s="59"/>
      <c r="B238" s="59"/>
      <c r="C238" s="59"/>
      <c r="D238" s="59"/>
      <c r="E238" s="59"/>
      <c r="F238" s="60">
        <f t="shared" si="9"/>
        <v>0</v>
      </c>
      <c r="G238" s="60" t="str">
        <f>IFERROR(INDEX($A$2:$A$226,MATCH(ROWS($F$2:F238),$F$2:$F$226,0)),"")</f>
        <v/>
      </c>
      <c r="H238" s="61">
        <f>IF(ISERROR(SEARCH(Cover!$C$4,$G238)),0,1)</f>
        <v>0</v>
      </c>
      <c r="I238" s="61" t="str">
        <f>IF($H238=0,"",COUNTIF($H$2:H238,1))</f>
        <v/>
      </c>
      <c r="J238" s="61" t="str">
        <f t="shared" si="10"/>
        <v/>
      </c>
      <c r="K238" s="61" t="str">
        <f t="shared" si="11"/>
        <v/>
      </c>
    </row>
    <row r="239" spans="1:11" x14ac:dyDescent="0.25">
      <c r="A239" s="59"/>
      <c r="B239" s="59"/>
      <c r="C239" s="59"/>
      <c r="D239" s="59"/>
      <c r="E239" s="59"/>
      <c r="F239" s="60">
        <f t="shared" si="9"/>
        <v>0</v>
      </c>
      <c r="G239" s="60" t="str">
        <f>IFERROR(INDEX($A$2:$A$226,MATCH(ROWS($F$2:F239),$F$2:$F$226,0)),"")</f>
        <v/>
      </c>
      <c r="H239" s="61">
        <f>IF(ISERROR(SEARCH(Cover!$C$4,$G239)),0,1)</f>
        <v>0</v>
      </c>
      <c r="I239" s="61" t="str">
        <f>IF($H239=0,"",COUNTIF($H$2:H239,1))</f>
        <v/>
      </c>
      <c r="J239" s="61" t="str">
        <f t="shared" si="10"/>
        <v/>
      </c>
      <c r="K239" s="61" t="str">
        <f t="shared" si="11"/>
        <v/>
      </c>
    </row>
    <row r="240" spans="1:11" x14ac:dyDescent="0.25">
      <c r="A240" s="59"/>
      <c r="B240" s="59"/>
      <c r="C240" s="59"/>
      <c r="D240" s="59"/>
      <c r="E240" s="59"/>
      <c r="F240" s="60">
        <f t="shared" si="9"/>
        <v>0</v>
      </c>
      <c r="G240" s="60" t="str">
        <f>IFERROR(INDEX($A$2:$A$226,MATCH(ROWS($F$2:F240),$F$2:$F$226,0)),"")</f>
        <v/>
      </c>
      <c r="H240" s="61">
        <f>IF(ISERROR(SEARCH(Cover!$C$4,$G240)),0,1)</f>
        <v>0</v>
      </c>
      <c r="I240" s="61" t="str">
        <f>IF($H240=0,"",COUNTIF($H$2:H240,1))</f>
        <v/>
      </c>
      <c r="J240" s="61" t="str">
        <f t="shared" si="10"/>
        <v/>
      </c>
      <c r="K240" s="61" t="str">
        <f t="shared" si="11"/>
        <v/>
      </c>
    </row>
    <row r="241" spans="1:11" x14ac:dyDescent="0.25">
      <c r="A241" s="59"/>
      <c r="B241" s="59"/>
      <c r="C241" s="59"/>
      <c r="D241" s="59"/>
      <c r="E241" s="59"/>
      <c r="F241" s="60">
        <f t="shared" si="9"/>
        <v>0</v>
      </c>
      <c r="G241" s="60" t="str">
        <f>IFERROR(INDEX($A$2:$A$226,MATCH(ROWS($F$2:F241),$F$2:$F$226,0)),"")</f>
        <v/>
      </c>
      <c r="H241" s="61">
        <f>IF(ISERROR(SEARCH(Cover!$C$4,$G241)),0,1)</f>
        <v>0</v>
      </c>
      <c r="I241" s="61" t="str">
        <f>IF($H241=0,"",COUNTIF($H$2:H241,1))</f>
        <v/>
      </c>
      <c r="J241" s="61" t="str">
        <f t="shared" si="10"/>
        <v/>
      </c>
      <c r="K241" s="61" t="str">
        <f t="shared" si="11"/>
        <v/>
      </c>
    </row>
    <row r="242" spans="1:11" x14ac:dyDescent="0.25">
      <c r="A242" s="59"/>
      <c r="B242" s="59"/>
      <c r="C242" s="59"/>
      <c r="D242" s="59"/>
      <c r="E242" s="59"/>
      <c r="F242" s="60">
        <f t="shared" si="9"/>
        <v>0</v>
      </c>
      <c r="G242" s="60" t="str">
        <f>IFERROR(INDEX($A$2:$A$226,MATCH(ROWS($F$2:F242),$F$2:$F$226,0)),"")</f>
        <v/>
      </c>
      <c r="H242" s="61">
        <f>IF(ISERROR(SEARCH(Cover!$C$4,$G242)),0,1)</f>
        <v>0</v>
      </c>
      <c r="I242" s="61" t="str">
        <f>IF($H242=0,"",COUNTIF($H$2:H242,1))</f>
        <v/>
      </c>
      <c r="J242" s="61" t="str">
        <f t="shared" si="10"/>
        <v/>
      </c>
      <c r="K242" s="61" t="str">
        <f t="shared" si="11"/>
        <v/>
      </c>
    </row>
    <row r="243" spans="1:11" x14ac:dyDescent="0.25">
      <c r="A243" s="59"/>
      <c r="B243" s="59"/>
      <c r="C243" s="59"/>
      <c r="D243" s="59"/>
      <c r="E243" s="59"/>
      <c r="F243" s="60">
        <f t="shared" si="9"/>
        <v>0</v>
      </c>
      <c r="G243" s="60" t="str">
        <f>IFERROR(INDEX($A$2:$A$226,MATCH(ROWS($F$2:F243),$F$2:$F$226,0)),"")</f>
        <v/>
      </c>
      <c r="H243" s="61">
        <f>IF(ISERROR(SEARCH(Cover!$C$4,$G243)),0,1)</f>
        <v>0</v>
      </c>
      <c r="I243" s="61" t="str">
        <f>IF($H243=0,"",COUNTIF($H$2:H243,1))</f>
        <v/>
      </c>
      <c r="J243" s="61" t="str">
        <f t="shared" si="10"/>
        <v/>
      </c>
      <c r="K243" s="61" t="str">
        <f t="shared" si="11"/>
        <v/>
      </c>
    </row>
    <row r="244" spans="1:11" x14ac:dyDescent="0.25">
      <c r="A244" s="59"/>
      <c r="B244" s="59"/>
      <c r="C244" s="59"/>
      <c r="D244" s="59"/>
      <c r="E244" s="59"/>
      <c r="F244" s="60">
        <f t="shared" si="9"/>
        <v>0</v>
      </c>
      <c r="G244" s="60" t="str">
        <f>IFERROR(INDEX($A$2:$A$226,MATCH(ROWS($F$2:F244),$F$2:$F$226,0)),"")</f>
        <v/>
      </c>
      <c r="H244" s="61">
        <f>IF(ISERROR(SEARCH(Cover!$C$4,$G244)),0,1)</f>
        <v>0</v>
      </c>
      <c r="I244" s="61" t="str">
        <f>IF($H244=0,"",COUNTIF($H$2:H244,1))</f>
        <v/>
      </c>
      <c r="J244" s="61" t="str">
        <f t="shared" si="10"/>
        <v/>
      </c>
      <c r="K244" s="61" t="str">
        <f t="shared" si="11"/>
        <v/>
      </c>
    </row>
    <row r="245" spans="1:11" x14ac:dyDescent="0.25">
      <c r="A245" s="59"/>
      <c r="B245" s="59"/>
      <c r="C245" s="59"/>
      <c r="D245" s="59"/>
      <c r="E245" s="59"/>
      <c r="F245" s="60">
        <f t="shared" si="9"/>
        <v>0</v>
      </c>
      <c r="G245" s="60" t="str">
        <f>IFERROR(INDEX($A$2:$A$226,MATCH(ROWS($F$2:F245),$F$2:$F$226,0)),"")</f>
        <v/>
      </c>
      <c r="H245" s="61">
        <f>IF(ISERROR(SEARCH(Cover!$C$4,$G245)),0,1)</f>
        <v>0</v>
      </c>
      <c r="I245" s="61" t="str">
        <f>IF($H245=0,"",COUNTIF($H$2:H245,1))</f>
        <v/>
      </c>
      <c r="J245" s="61" t="str">
        <f t="shared" si="10"/>
        <v/>
      </c>
      <c r="K245" s="61" t="str">
        <f t="shared" si="11"/>
        <v/>
      </c>
    </row>
    <row r="246" spans="1:11" x14ac:dyDescent="0.25">
      <c r="A246" s="59"/>
      <c r="B246" s="59"/>
      <c r="C246" s="59"/>
      <c r="D246" s="59"/>
      <c r="E246" s="59"/>
      <c r="F246" s="60">
        <f t="shared" si="9"/>
        <v>0</v>
      </c>
      <c r="G246" s="60" t="str">
        <f>IFERROR(INDEX($A$2:$A$226,MATCH(ROWS($F$2:F246),$F$2:$F$226,0)),"")</f>
        <v/>
      </c>
      <c r="H246" s="61">
        <f>IF(ISERROR(SEARCH(Cover!$C$4,$G246)),0,1)</f>
        <v>0</v>
      </c>
      <c r="I246" s="61" t="str">
        <f>IF($H246=0,"",COUNTIF($H$2:H246,1))</f>
        <v/>
      </c>
      <c r="J246" s="61" t="str">
        <f t="shared" si="10"/>
        <v/>
      </c>
      <c r="K246" s="61" t="str">
        <f t="shared" si="11"/>
        <v/>
      </c>
    </row>
    <row r="247" spans="1:11" x14ac:dyDescent="0.25">
      <c r="A247" s="59"/>
      <c r="B247" s="59"/>
      <c r="C247" s="59"/>
      <c r="D247" s="59"/>
      <c r="E247" s="59"/>
      <c r="F247" s="60">
        <f t="shared" si="9"/>
        <v>0</v>
      </c>
      <c r="G247" s="60" t="str">
        <f>IFERROR(INDEX($A$2:$A$226,MATCH(ROWS($F$2:F247),$F$2:$F$226,0)),"")</f>
        <v/>
      </c>
      <c r="H247" s="61">
        <f>IF(ISERROR(SEARCH(Cover!$C$4,$G247)),0,1)</f>
        <v>0</v>
      </c>
      <c r="I247" s="61" t="str">
        <f>IF($H247=0,"",COUNTIF($H$2:H247,1))</f>
        <v/>
      </c>
      <c r="J247" s="61" t="str">
        <f t="shared" si="10"/>
        <v/>
      </c>
      <c r="K247" s="61" t="str">
        <f t="shared" si="11"/>
        <v/>
      </c>
    </row>
    <row r="248" spans="1:11" x14ac:dyDescent="0.25">
      <c r="A248" s="59"/>
      <c r="B248" s="59"/>
      <c r="C248" s="59"/>
      <c r="D248" s="59"/>
      <c r="E248" s="59"/>
      <c r="F248" s="60">
        <f t="shared" si="9"/>
        <v>0</v>
      </c>
      <c r="G248" s="60" t="str">
        <f>IFERROR(INDEX($A$2:$A$226,MATCH(ROWS($F$2:F248),$F$2:$F$226,0)),"")</f>
        <v/>
      </c>
      <c r="H248" s="61">
        <f>IF(ISERROR(SEARCH(Cover!$C$4,$G248)),0,1)</f>
        <v>0</v>
      </c>
      <c r="I248" s="61" t="str">
        <f>IF($H248=0,"",COUNTIF($H$2:H248,1))</f>
        <v/>
      </c>
      <c r="J248" s="61" t="str">
        <f t="shared" si="10"/>
        <v/>
      </c>
      <c r="K248" s="61" t="str">
        <f t="shared" si="11"/>
        <v/>
      </c>
    </row>
    <row r="249" spans="1:11" x14ac:dyDescent="0.25">
      <c r="A249" s="59"/>
      <c r="B249" s="59"/>
      <c r="C249" s="59"/>
      <c r="D249" s="59"/>
      <c r="E249" s="59"/>
      <c r="F249" s="60">
        <f t="shared" si="9"/>
        <v>0</v>
      </c>
      <c r="G249" s="60" t="str">
        <f>IFERROR(INDEX($A$2:$A$226,MATCH(ROWS($F$2:F249),$F$2:$F$226,0)),"")</f>
        <v/>
      </c>
      <c r="H249" s="61">
        <f>IF(ISERROR(SEARCH(Cover!$C$4,$G249)),0,1)</f>
        <v>0</v>
      </c>
      <c r="I249" s="61" t="str">
        <f>IF($H249=0,"",COUNTIF($H$2:H249,1))</f>
        <v/>
      </c>
      <c r="J249" s="61" t="str">
        <f t="shared" si="10"/>
        <v/>
      </c>
      <c r="K249" s="61" t="str">
        <f t="shared" si="11"/>
        <v/>
      </c>
    </row>
    <row r="250" spans="1:11" x14ac:dyDescent="0.25">
      <c r="A250" s="59"/>
      <c r="B250" s="59"/>
      <c r="C250" s="59"/>
      <c r="D250" s="59"/>
      <c r="E250" s="59"/>
      <c r="F250" s="60">
        <f t="shared" si="9"/>
        <v>0</v>
      </c>
      <c r="G250" s="60" t="str">
        <f>IFERROR(INDEX($A$2:$A$226,MATCH(ROWS($F$2:F250),$F$2:$F$226,0)),"")</f>
        <v/>
      </c>
      <c r="H250" s="61">
        <f>IF(ISERROR(SEARCH(Cover!$C$4,$G250)),0,1)</f>
        <v>0</v>
      </c>
      <c r="I250" s="61" t="str">
        <f>IF($H250=0,"",COUNTIF($H$2:H250,1))</f>
        <v/>
      </c>
      <c r="J250" s="61" t="str">
        <f t="shared" si="10"/>
        <v/>
      </c>
      <c r="K250" s="61" t="str">
        <f t="shared" si="11"/>
        <v/>
      </c>
    </row>
    <row r="251" spans="1:11" x14ac:dyDescent="0.25">
      <c r="A251" s="59"/>
      <c r="B251" s="59"/>
      <c r="C251" s="59"/>
      <c r="D251" s="59"/>
      <c r="E251" s="59"/>
      <c r="F251" s="60">
        <f t="shared" si="9"/>
        <v>0</v>
      </c>
      <c r="G251" s="60" t="str">
        <f>IFERROR(INDEX($A$2:$A$226,MATCH(ROWS($F$2:F251),$F$2:$F$226,0)),"")</f>
        <v/>
      </c>
      <c r="H251" s="61">
        <f>IF(ISERROR(SEARCH(Cover!$C$4,$G251)),0,1)</f>
        <v>0</v>
      </c>
      <c r="I251" s="61" t="str">
        <f>IF($H251=0,"",COUNTIF($H$2:H251,1))</f>
        <v/>
      </c>
      <c r="J251" s="61" t="str">
        <f t="shared" si="10"/>
        <v/>
      </c>
      <c r="K251" s="61" t="str">
        <f t="shared" si="11"/>
        <v/>
      </c>
    </row>
    <row r="252" spans="1:11" x14ac:dyDescent="0.25">
      <c r="A252" s="59"/>
      <c r="B252" s="59"/>
      <c r="C252" s="59"/>
      <c r="D252" s="59"/>
      <c r="E252" s="59"/>
      <c r="F252" s="60">
        <f t="shared" si="9"/>
        <v>0</v>
      </c>
      <c r="G252" s="60" t="str">
        <f>IFERROR(INDEX($A$2:$A$226,MATCH(ROWS($F$2:F252),$F$2:$F$226,0)),"")</f>
        <v/>
      </c>
      <c r="H252" s="61">
        <f>IF(ISERROR(SEARCH(Cover!$C$4,$G252)),0,1)</f>
        <v>0</v>
      </c>
      <c r="I252" s="61" t="str">
        <f>IF($H252=0,"",COUNTIF($H$2:H252,1))</f>
        <v/>
      </c>
      <c r="J252" s="61" t="str">
        <f t="shared" si="10"/>
        <v/>
      </c>
      <c r="K252" s="61" t="str">
        <f t="shared" si="11"/>
        <v/>
      </c>
    </row>
    <row r="253" spans="1:11" x14ac:dyDescent="0.25">
      <c r="A253" s="59"/>
      <c r="B253" s="59"/>
      <c r="C253" s="59"/>
      <c r="D253" s="59"/>
      <c r="E253" s="59"/>
      <c r="F253" s="60">
        <f t="shared" si="9"/>
        <v>0</v>
      </c>
      <c r="G253" s="60" t="str">
        <f>IFERROR(INDEX($A$2:$A$226,MATCH(ROWS($F$2:F253),$F$2:$F$226,0)),"")</f>
        <v/>
      </c>
      <c r="H253" s="61">
        <f>IF(ISERROR(SEARCH(Cover!$C$4,$G253)),0,1)</f>
        <v>0</v>
      </c>
      <c r="I253" s="61" t="str">
        <f>IF($H253=0,"",COUNTIF($H$2:H253,1))</f>
        <v/>
      </c>
      <c r="J253" s="61" t="str">
        <f t="shared" si="10"/>
        <v/>
      </c>
      <c r="K253" s="61" t="str">
        <f t="shared" si="11"/>
        <v/>
      </c>
    </row>
    <row r="254" spans="1:11" x14ac:dyDescent="0.25">
      <c r="A254" s="59"/>
      <c r="B254" s="59"/>
      <c r="C254" s="59"/>
      <c r="D254" s="59"/>
      <c r="E254" s="59"/>
      <c r="F254" s="60">
        <f t="shared" si="9"/>
        <v>0</v>
      </c>
      <c r="G254" s="60" t="str">
        <f>IFERROR(INDEX($A$2:$A$226,MATCH(ROWS($F$2:F254),$F$2:$F$226,0)),"")</f>
        <v/>
      </c>
      <c r="H254" s="61">
        <f>IF(ISERROR(SEARCH(Cover!$C$4,$G254)),0,1)</f>
        <v>0</v>
      </c>
      <c r="I254" s="61" t="str">
        <f>IF($H254=0,"",COUNTIF($H$2:H254,1))</f>
        <v/>
      </c>
      <c r="J254" s="61" t="str">
        <f t="shared" si="10"/>
        <v/>
      </c>
      <c r="K254" s="61" t="str">
        <f t="shared" si="11"/>
        <v/>
      </c>
    </row>
    <row r="255" spans="1:11" x14ac:dyDescent="0.25">
      <c r="A255" s="59"/>
      <c r="B255" s="59"/>
      <c r="C255" s="59"/>
      <c r="D255" s="59"/>
      <c r="E255" s="59"/>
      <c r="F255" s="60">
        <f t="shared" si="9"/>
        <v>0</v>
      </c>
      <c r="G255" s="60" t="str">
        <f>IFERROR(INDEX($A$2:$A$226,MATCH(ROWS($F$2:F255),$F$2:$F$226,0)),"")</f>
        <v/>
      </c>
      <c r="H255" s="61">
        <f>IF(ISERROR(SEARCH(Cover!$C$4,$G255)),0,1)</f>
        <v>0</v>
      </c>
      <c r="I255" s="61" t="str">
        <f>IF($H255=0,"",COUNTIF($H$2:H255,1))</f>
        <v/>
      </c>
      <c r="J255" s="61" t="str">
        <f t="shared" si="10"/>
        <v/>
      </c>
      <c r="K255" s="61" t="str">
        <f t="shared" si="11"/>
        <v/>
      </c>
    </row>
    <row r="256" spans="1:11" x14ac:dyDescent="0.25">
      <c r="A256" s="59"/>
      <c r="B256" s="59"/>
      <c r="C256" s="59"/>
      <c r="D256" s="59"/>
      <c r="E256" s="59"/>
      <c r="F256" s="60">
        <f t="shared" si="9"/>
        <v>0</v>
      </c>
      <c r="G256" s="60" t="str">
        <f>IFERROR(INDEX($A$2:$A$226,MATCH(ROWS($F$2:F256),$F$2:$F$226,0)),"")</f>
        <v/>
      </c>
      <c r="H256" s="61">
        <f>IF(ISERROR(SEARCH(Cover!$C$4,$G256)),0,1)</f>
        <v>0</v>
      </c>
      <c r="I256" s="61" t="str">
        <f>IF($H256=0,"",COUNTIF($H$2:H256,1))</f>
        <v/>
      </c>
      <c r="J256" s="61" t="str">
        <f t="shared" si="10"/>
        <v/>
      </c>
      <c r="K256" s="61" t="str">
        <f t="shared" si="11"/>
        <v/>
      </c>
    </row>
    <row r="257" spans="1:11" x14ac:dyDescent="0.25">
      <c r="A257" s="59"/>
      <c r="B257" s="59"/>
      <c r="C257" s="59"/>
      <c r="D257" s="59"/>
      <c r="E257" s="59"/>
      <c r="F257" s="60">
        <f t="shared" si="9"/>
        <v>0</v>
      </c>
      <c r="G257" s="60" t="str">
        <f>IFERROR(INDEX($A$2:$A$226,MATCH(ROWS($F$2:F257),$F$2:$F$226,0)),"")</f>
        <v/>
      </c>
      <c r="H257" s="61">
        <f>IF(ISERROR(SEARCH(Cover!$C$4,$G257)),0,1)</f>
        <v>0</v>
      </c>
      <c r="I257" s="61" t="str">
        <f>IF($H257=0,"",COUNTIF($H$2:H257,1))</f>
        <v/>
      </c>
      <c r="J257" s="61" t="str">
        <f t="shared" si="10"/>
        <v/>
      </c>
      <c r="K257" s="61" t="str">
        <f t="shared" si="11"/>
        <v/>
      </c>
    </row>
  </sheetData>
  <sheetProtection algorithmName="SHA-512" hashValue="5aXRcOprJuTPHPmQ/xAp/733UThWGC5RQp3jq9h4woXHeAoOUZ5nlcEWiRC20oE17hWWQ7Lf/18wnF6uGCkUEg==" saltValue="O+5HbL8MKHhZYhnZAklu1A==" spinCount="100000" sheet="1" objects="1" scenarios="1"/>
  <autoFilter ref="A1:K257" xr:uid="{00000000-0001-0000-0400-000000000000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C56F3BCBF149869AEAC0508793E1" ma:contentTypeVersion="1" ma:contentTypeDescription="Create a new document." ma:contentTypeScope="" ma:versionID="bdb2dcba445e97b2afe0c621e1eb8599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87C01A-F9FA-4D14-AC1B-23DCC9BB13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048EBF-87F0-405F-B396-DAEEF41B17FE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31b0f60-fd0c-42a1-8924-8e870d476e8f"/>
  </ds:schemaRefs>
</ds:datastoreItem>
</file>

<file path=customXml/itemProps3.xml><?xml version="1.0" encoding="utf-8"?>
<ds:datastoreItem xmlns:ds="http://schemas.openxmlformats.org/officeDocument/2006/customXml" ds:itemID="{FD077900-E658-406D-8656-E48E72A67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01 OpBud 901B-10</vt:lpstr>
      <vt:lpstr>01OpBud SLRY Assurance Art10A_8</vt:lpstr>
      <vt:lpstr>PED_ONLY</vt:lpstr>
      <vt:lpstr>PED_ONLY2</vt:lpstr>
      <vt:lpstr>'01 OpBud 901B-10'!Print_Area</vt:lpstr>
      <vt:lpstr>'01OpBud SLRY Assurance Art10A_8'!Print_Area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Cordova</dc:creator>
  <cp:lastModifiedBy>Cordova, Sara, PED</cp:lastModifiedBy>
  <cp:lastPrinted>2022-04-02T16:05:13Z</cp:lastPrinted>
  <dcterms:created xsi:type="dcterms:W3CDTF">2021-01-11T20:21:37Z</dcterms:created>
  <dcterms:modified xsi:type="dcterms:W3CDTF">2022-04-14T01:01:19Z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0x0101000E3CC56F3BCBF149869AEAC0508793E1</vt:lpwstr>
  </property>
</Properties>
</file>