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Final Reports/Shared Documents/FY23/FORM UPDATES/"/>
    </mc:Choice>
  </mc:AlternateContent>
  <xr:revisionPtr revIDLastSave="0" documentId="13_ncr:1_{2C09A0A9-ED80-4A2C-BA4B-DBE34E8E33CF}" xr6:coauthVersionLast="47" xr6:coauthVersionMax="47" xr10:uidLastSave="{00000000-0000-0000-0000-000000000000}"/>
  <bookViews>
    <workbookView xWindow="-120" yWindow="-120" windowWidth="38640" windowHeight="21240" xr2:uid="{96411D3E-989F-4D28-A616-C397105754B7}"/>
  </bookViews>
  <sheets>
    <sheet name="CASH REPORT" sheetId="1" r:id="rId1"/>
    <sheet name="Instructions" sheetId="3" r:id="rId2"/>
    <sheet name="PED_ONLY" sheetId="6" state="hidden" r:id="rId3"/>
    <sheet name="PED_ONLY2" sheetId="4" state="hidden" r:id="rId4"/>
  </sheets>
  <definedNames>
    <definedName name="_xlnm._FilterDatabase" localSheetId="2" hidden="1">PED_ONLY!$A$1:$J$257</definedName>
    <definedName name="_xlnm.Print_Area" localSheetId="1">Instructions!$A$1:$K$152</definedName>
    <definedName name="_xlnm.Print_Titles" localSheetId="0">'CASH REPORT'!$1:$3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9" i="1" l="1" a="1"/>
  <c r="I209" i="1" s="1"/>
  <c r="I206" i="1" a="1"/>
  <c r="I206" i="1" s="1"/>
  <c r="E212" i="1" a="1"/>
  <c r="E212" i="1" s="1"/>
  <c r="E206" i="1" a="1"/>
  <c r="E206" i="1" s="1"/>
  <c r="A215" i="1" a="1"/>
  <c r="A215" i="1" s="1"/>
  <c r="A206" i="1" a="1"/>
  <c r="A206" i="1" s="1"/>
  <c r="C2" i="1"/>
  <c r="K3" i="1" s="1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G5" i="6" s="1"/>
  <c r="H5" i="6" s="1"/>
  <c r="G7" i="6" l="1"/>
  <c r="H7" i="6" s="1"/>
  <c r="G21" i="6"/>
  <c r="H21" i="6" s="1"/>
  <c r="G29" i="6"/>
  <c r="H29" i="6" s="1"/>
  <c r="G45" i="6"/>
  <c r="H45" i="6" s="1"/>
  <c r="G61" i="6"/>
  <c r="H61" i="6" s="1"/>
  <c r="G77" i="6"/>
  <c r="H77" i="6" s="1"/>
  <c r="G11" i="6"/>
  <c r="H11" i="6" s="1"/>
  <c r="G251" i="6"/>
  <c r="H251" i="6" s="1"/>
  <c r="I251" i="6" s="1"/>
  <c r="G243" i="6"/>
  <c r="H243" i="6" s="1"/>
  <c r="I243" i="6" s="1"/>
  <c r="G235" i="6"/>
  <c r="H235" i="6" s="1"/>
  <c r="I235" i="6" s="1"/>
  <c r="G227" i="6"/>
  <c r="H227" i="6" s="1"/>
  <c r="I227" i="6" s="1"/>
  <c r="G219" i="6"/>
  <c r="H219" i="6" s="1"/>
  <c r="I219" i="6" s="1"/>
  <c r="G211" i="6"/>
  <c r="H211" i="6" s="1"/>
  <c r="I211" i="6" s="1"/>
  <c r="G203" i="6"/>
  <c r="H203" i="6" s="1"/>
  <c r="I203" i="6" s="1"/>
  <c r="G195" i="6"/>
  <c r="H195" i="6" s="1"/>
  <c r="I195" i="6" s="1"/>
  <c r="G187" i="6"/>
  <c r="H187" i="6" s="1"/>
  <c r="G179" i="6"/>
  <c r="H179" i="6" s="1"/>
  <c r="G171" i="6"/>
  <c r="H171" i="6" s="1"/>
  <c r="G163" i="6"/>
  <c r="H163" i="6" s="1"/>
  <c r="G155" i="6"/>
  <c r="H155" i="6" s="1"/>
  <c r="G147" i="6"/>
  <c r="H147" i="6" s="1"/>
  <c r="G139" i="6"/>
  <c r="H139" i="6" s="1"/>
  <c r="G131" i="6"/>
  <c r="H131" i="6" s="1"/>
  <c r="G123" i="6"/>
  <c r="H123" i="6" s="1"/>
  <c r="G115" i="6"/>
  <c r="H115" i="6" s="1"/>
  <c r="G107" i="6"/>
  <c r="H107" i="6" s="1"/>
  <c r="G254" i="6"/>
  <c r="H254" i="6" s="1"/>
  <c r="I254" i="6" s="1"/>
  <c r="G246" i="6"/>
  <c r="H246" i="6" s="1"/>
  <c r="I246" i="6" s="1"/>
  <c r="G238" i="6"/>
  <c r="H238" i="6" s="1"/>
  <c r="I238" i="6" s="1"/>
  <c r="G230" i="6"/>
  <c r="H230" i="6" s="1"/>
  <c r="I230" i="6" s="1"/>
  <c r="G222" i="6"/>
  <c r="H222" i="6" s="1"/>
  <c r="I222" i="6" s="1"/>
  <c r="G214" i="6"/>
  <c r="H214" i="6" s="1"/>
  <c r="I214" i="6" s="1"/>
  <c r="G206" i="6"/>
  <c r="H206" i="6" s="1"/>
  <c r="I206" i="6" s="1"/>
  <c r="G198" i="6"/>
  <c r="H198" i="6" s="1"/>
  <c r="I198" i="6" s="1"/>
  <c r="G190" i="6"/>
  <c r="H190" i="6" s="1"/>
  <c r="G182" i="6"/>
  <c r="H182" i="6" s="1"/>
  <c r="G174" i="6"/>
  <c r="H174" i="6" s="1"/>
  <c r="G166" i="6"/>
  <c r="H166" i="6" s="1"/>
  <c r="G158" i="6"/>
  <c r="H158" i="6" s="1"/>
  <c r="G150" i="6"/>
  <c r="H150" i="6" s="1"/>
  <c r="G142" i="6"/>
  <c r="H142" i="6" s="1"/>
  <c r="G134" i="6"/>
  <c r="H134" i="6" s="1"/>
  <c r="G126" i="6"/>
  <c r="H126" i="6" s="1"/>
  <c r="G118" i="6"/>
  <c r="H118" i="6" s="1"/>
  <c r="G110" i="6"/>
  <c r="H110" i="6" s="1"/>
  <c r="G257" i="6"/>
  <c r="H257" i="6" s="1"/>
  <c r="I257" i="6" s="1"/>
  <c r="G249" i="6"/>
  <c r="H249" i="6" s="1"/>
  <c r="I249" i="6" s="1"/>
  <c r="G241" i="6"/>
  <c r="H241" i="6" s="1"/>
  <c r="I241" i="6" s="1"/>
  <c r="G233" i="6"/>
  <c r="H233" i="6" s="1"/>
  <c r="I233" i="6" s="1"/>
  <c r="G225" i="6"/>
  <c r="H225" i="6" s="1"/>
  <c r="I225" i="6" s="1"/>
  <c r="G217" i="6"/>
  <c r="H217" i="6" s="1"/>
  <c r="I217" i="6" s="1"/>
  <c r="G209" i="6"/>
  <c r="H209" i="6" s="1"/>
  <c r="I209" i="6" s="1"/>
  <c r="G201" i="6"/>
  <c r="H201" i="6" s="1"/>
  <c r="I201" i="6" s="1"/>
  <c r="G193" i="6"/>
  <c r="H193" i="6" s="1"/>
  <c r="I193" i="6" s="1"/>
  <c r="G185" i="6"/>
  <c r="H185" i="6" s="1"/>
  <c r="G177" i="6"/>
  <c r="H177" i="6" s="1"/>
  <c r="G169" i="6"/>
  <c r="H169" i="6" s="1"/>
  <c r="G161" i="6"/>
  <c r="H161" i="6" s="1"/>
  <c r="G153" i="6"/>
  <c r="H153" i="6" s="1"/>
  <c r="G145" i="6"/>
  <c r="H145" i="6" s="1"/>
  <c r="G137" i="6"/>
  <c r="H137" i="6" s="1"/>
  <c r="G129" i="6"/>
  <c r="H129" i="6" s="1"/>
  <c r="G121" i="6"/>
  <c r="H121" i="6" s="1"/>
  <c r="G113" i="6"/>
  <c r="H113" i="6" s="1"/>
  <c r="G105" i="6"/>
  <c r="H105" i="6" s="1"/>
  <c r="G97" i="6"/>
  <c r="H97" i="6" s="1"/>
  <c r="G89" i="6"/>
  <c r="H89" i="6" s="1"/>
  <c r="G252" i="6"/>
  <c r="H252" i="6" s="1"/>
  <c r="I252" i="6" s="1"/>
  <c r="G244" i="6"/>
  <c r="H244" i="6" s="1"/>
  <c r="I244" i="6" s="1"/>
  <c r="G236" i="6"/>
  <c r="H236" i="6" s="1"/>
  <c r="I236" i="6" s="1"/>
  <c r="G228" i="6"/>
  <c r="H228" i="6" s="1"/>
  <c r="I228" i="6" s="1"/>
  <c r="G220" i="6"/>
  <c r="H220" i="6" s="1"/>
  <c r="I220" i="6" s="1"/>
  <c r="G212" i="6"/>
  <c r="H212" i="6" s="1"/>
  <c r="I212" i="6" s="1"/>
  <c r="G204" i="6"/>
  <c r="H204" i="6" s="1"/>
  <c r="I204" i="6" s="1"/>
  <c r="G196" i="6"/>
  <c r="H196" i="6" s="1"/>
  <c r="I196" i="6" s="1"/>
  <c r="G188" i="6"/>
  <c r="H188" i="6" s="1"/>
  <c r="G180" i="6"/>
  <c r="H180" i="6" s="1"/>
  <c r="G172" i="6"/>
  <c r="H172" i="6" s="1"/>
  <c r="G164" i="6"/>
  <c r="H164" i="6" s="1"/>
  <c r="G156" i="6"/>
  <c r="H156" i="6" s="1"/>
  <c r="G148" i="6"/>
  <c r="H148" i="6" s="1"/>
  <c r="G140" i="6"/>
  <c r="H140" i="6" s="1"/>
  <c r="G132" i="6"/>
  <c r="H132" i="6" s="1"/>
  <c r="G124" i="6"/>
  <c r="H124" i="6" s="1"/>
  <c r="G116" i="6"/>
  <c r="H116" i="6" s="1"/>
  <c r="G108" i="6"/>
  <c r="H108" i="6" s="1"/>
  <c r="G255" i="6"/>
  <c r="H255" i="6" s="1"/>
  <c r="I255" i="6" s="1"/>
  <c r="G247" i="6"/>
  <c r="H247" i="6" s="1"/>
  <c r="I247" i="6" s="1"/>
  <c r="G239" i="6"/>
  <c r="H239" i="6" s="1"/>
  <c r="I239" i="6" s="1"/>
  <c r="G231" i="6"/>
  <c r="H231" i="6" s="1"/>
  <c r="I231" i="6" s="1"/>
  <c r="G223" i="6"/>
  <c r="H223" i="6" s="1"/>
  <c r="I223" i="6" s="1"/>
  <c r="G215" i="6"/>
  <c r="H215" i="6" s="1"/>
  <c r="I215" i="6" s="1"/>
  <c r="G207" i="6"/>
  <c r="H207" i="6" s="1"/>
  <c r="I207" i="6" s="1"/>
  <c r="G199" i="6"/>
  <c r="H199" i="6" s="1"/>
  <c r="I199" i="6" s="1"/>
  <c r="G191" i="6"/>
  <c r="H191" i="6" s="1"/>
  <c r="G183" i="6"/>
  <c r="H183" i="6" s="1"/>
  <c r="G175" i="6"/>
  <c r="H175" i="6" s="1"/>
  <c r="G167" i="6"/>
  <c r="H167" i="6" s="1"/>
  <c r="G159" i="6"/>
  <c r="H159" i="6" s="1"/>
  <c r="G151" i="6"/>
  <c r="H151" i="6" s="1"/>
  <c r="G143" i="6"/>
  <c r="H143" i="6" s="1"/>
  <c r="G135" i="6"/>
  <c r="H135" i="6" s="1"/>
  <c r="G127" i="6"/>
  <c r="H127" i="6" s="1"/>
  <c r="G119" i="6"/>
  <c r="H119" i="6" s="1"/>
  <c r="G111" i="6"/>
  <c r="H111" i="6" s="1"/>
  <c r="G103" i="6"/>
  <c r="H103" i="6" s="1"/>
  <c r="G250" i="6"/>
  <c r="H250" i="6" s="1"/>
  <c r="I250" i="6" s="1"/>
  <c r="G242" i="6"/>
  <c r="H242" i="6" s="1"/>
  <c r="I242" i="6" s="1"/>
  <c r="G234" i="6"/>
  <c r="H234" i="6" s="1"/>
  <c r="I234" i="6" s="1"/>
  <c r="G226" i="6"/>
  <c r="H226" i="6" s="1"/>
  <c r="I226" i="6" s="1"/>
  <c r="G218" i="6"/>
  <c r="H218" i="6" s="1"/>
  <c r="I218" i="6" s="1"/>
  <c r="G210" i="6"/>
  <c r="H210" i="6" s="1"/>
  <c r="I210" i="6" s="1"/>
  <c r="G202" i="6"/>
  <c r="H202" i="6" s="1"/>
  <c r="I202" i="6" s="1"/>
  <c r="G194" i="6"/>
  <c r="H194" i="6" s="1"/>
  <c r="I194" i="6" s="1"/>
  <c r="G186" i="6"/>
  <c r="H186" i="6" s="1"/>
  <c r="G178" i="6"/>
  <c r="H178" i="6" s="1"/>
  <c r="G170" i="6"/>
  <c r="H170" i="6" s="1"/>
  <c r="G162" i="6"/>
  <c r="H162" i="6" s="1"/>
  <c r="G154" i="6"/>
  <c r="H154" i="6" s="1"/>
  <c r="G146" i="6"/>
  <c r="H146" i="6" s="1"/>
  <c r="G138" i="6"/>
  <c r="H138" i="6" s="1"/>
  <c r="G130" i="6"/>
  <c r="H130" i="6" s="1"/>
  <c r="G122" i="6"/>
  <c r="H122" i="6" s="1"/>
  <c r="G114" i="6"/>
  <c r="H114" i="6" s="1"/>
  <c r="G106" i="6"/>
  <c r="H106" i="6" s="1"/>
  <c r="G98" i="6"/>
  <c r="H98" i="6" s="1"/>
  <c r="G253" i="6"/>
  <c r="H253" i="6" s="1"/>
  <c r="I253" i="6" s="1"/>
  <c r="G245" i="6"/>
  <c r="H245" i="6" s="1"/>
  <c r="I245" i="6" s="1"/>
  <c r="G237" i="6"/>
  <c r="H237" i="6" s="1"/>
  <c r="I237" i="6" s="1"/>
  <c r="G229" i="6"/>
  <c r="H229" i="6" s="1"/>
  <c r="I229" i="6" s="1"/>
  <c r="G221" i="6"/>
  <c r="H221" i="6" s="1"/>
  <c r="I221" i="6" s="1"/>
  <c r="G213" i="6"/>
  <c r="H213" i="6" s="1"/>
  <c r="I213" i="6" s="1"/>
  <c r="G205" i="6"/>
  <c r="H205" i="6" s="1"/>
  <c r="I205" i="6" s="1"/>
  <c r="G197" i="6"/>
  <c r="H197" i="6" s="1"/>
  <c r="I197" i="6" s="1"/>
  <c r="G189" i="6"/>
  <c r="H189" i="6" s="1"/>
  <c r="G181" i="6"/>
  <c r="H181" i="6" s="1"/>
  <c r="G173" i="6"/>
  <c r="H173" i="6" s="1"/>
  <c r="G165" i="6"/>
  <c r="H165" i="6" s="1"/>
  <c r="G157" i="6"/>
  <c r="H157" i="6" s="1"/>
  <c r="G149" i="6"/>
  <c r="H149" i="6" s="1"/>
  <c r="G141" i="6"/>
  <c r="H141" i="6" s="1"/>
  <c r="G133" i="6"/>
  <c r="H133" i="6" s="1"/>
  <c r="G125" i="6"/>
  <c r="H125" i="6" s="1"/>
  <c r="G117" i="6"/>
  <c r="H117" i="6" s="1"/>
  <c r="G109" i="6"/>
  <c r="H109" i="6" s="1"/>
  <c r="G101" i="6"/>
  <c r="H101" i="6" s="1"/>
  <c r="G93" i="6"/>
  <c r="H93" i="6" s="1"/>
  <c r="G86" i="6"/>
  <c r="H86" i="6" s="1"/>
  <c r="G78" i="6"/>
  <c r="H78" i="6" s="1"/>
  <c r="G70" i="6"/>
  <c r="H70" i="6" s="1"/>
  <c r="G62" i="6"/>
  <c r="H62" i="6" s="1"/>
  <c r="G54" i="6"/>
  <c r="H54" i="6" s="1"/>
  <c r="G46" i="6"/>
  <c r="H46" i="6" s="1"/>
  <c r="G38" i="6"/>
  <c r="H38" i="6" s="1"/>
  <c r="G30" i="6"/>
  <c r="H30" i="6" s="1"/>
  <c r="G22" i="6"/>
  <c r="H22" i="6" s="1"/>
  <c r="G14" i="6"/>
  <c r="H14" i="6" s="1"/>
  <c r="G6" i="6"/>
  <c r="H6" i="6" s="1"/>
  <c r="G91" i="6"/>
  <c r="H91" i="6" s="1"/>
  <c r="G81" i="6"/>
  <c r="H81" i="6" s="1"/>
  <c r="G73" i="6"/>
  <c r="H73" i="6" s="1"/>
  <c r="G65" i="6"/>
  <c r="H65" i="6" s="1"/>
  <c r="G57" i="6"/>
  <c r="H57" i="6" s="1"/>
  <c r="G49" i="6"/>
  <c r="H49" i="6" s="1"/>
  <c r="G41" i="6"/>
  <c r="H41" i="6" s="1"/>
  <c r="G33" i="6"/>
  <c r="H33" i="6" s="1"/>
  <c r="G25" i="6"/>
  <c r="H25" i="6" s="1"/>
  <c r="G17" i="6"/>
  <c r="H17" i="6" s="1"/>
  <c r="G9" i="6"/>
  <c r="H9" i="6" s="1"/>
  <c r="G256" i="6"/>
  <c r="H256" i="6" s="1"/>
  <c r="I256" i="6" s="1"/>
  <c r="G240" i="6"/>
  <c r="H240" i="6" s="1"/>
  <c r="I240" i="6" s="1"/>
  <c r="G224" i="6"/>
  <c r="H224" i="6" s="1"/>
  <c r="I224" i="6" s="1"/>
  <c r="G208" i="6"/>
  <c r="H208" i="6" s="1"/>
  <c r="I208" i="6" s="1"/>
  <c r="G192" i="6"/>
  <c r="H192" i="6" s="1"/>
  <c r="I192" i="6" s="1"/>
  <c r="G176" i="6"/>
  <c r="H176" i="6" s="1"/>
  <c r="G160" i="6"/>
  <c r="H160" i="6" s="1"/>
  <c r="G144" i="6"/>
  <c r="H144" i="6" s="1"/>
  <c r="G128" i="6"/>
  <c r="H128" i="6" s="1"/>
  <c r="G112" i="6"/>
  <c r="H112" i="6" s="1"/>
  <c r="G96" i="6"/>
  <c r="H96" i="6" s="1"/>
  <c r="G84" i="6"/>
  <c r="H84" i="6" s="1"/>
  <c r="G76" i="6"/>
  <c r="H76" i="6" s="1"/>
  <c r="G68" i="6"/>
  <c r="H68" i="6" s="1"/>
  <c r="G60" i="6"/>
  <c r="H60" i="6" s="1"/>
  <c r="G52" i="6"/>
  <c r="H52" i="6" s="1"/>
  <c r="G44" i="6"/>
  <c r="H44" i="6" s="1"/>
  <c r="G36" i="6"/>
  <c r="H36" i="6" s="1"/>
  <c r="G28" i="6"/>
  <c r="H28" i="6" s="1"/>
  <c r="G20" i="6"/>
  <c r="H20" i="6" s="1"/>
  <c r="G12" i="6"/>
  <c r="H12" i="6" s="1"/>
  <c r="G4" i="6"/>
  <c r="H4" i="6" s="1"/>
  <c r="G31" i="6"/>
  <c r="H31" i="6" s="1"/>
  <c r="G94" i="6"/>
  <c r="H94" i="6" s="1"/>
  <c r="G87" i="6"/>
  <c r="H87" i="6" s="1"/>
  <c r="G79" i="6"/>
  <c r="H79" i="6" s="1"/>
  <c r="G71" i="6"/>
  <c r="H71" i="6" s="1"/>
  <c r="G63" i="6"/>
  <c r="H63" i="6" s="1"/>
  <c r="G55" i="6"/>
  <c r="H55" i="6" s="1"/>
  <c r="G47" i="6"/>
  <c r="H47" i="6" s="1"/>
  <c r="G39" i="6"/>
  <c r="H39" i="6" s="1"/>
  <c r="G100" i="6"/>
  <c r="H100" i="6" s="1"/>
  <c r="G92" i="6"/>
  <c r="H92" i="6" s="1"/>
  <c r="G82" i="6"/>
  <c r="H82" i="6" s="1"/>
  <c r="G74" i="6"/>
  <c r="H74" i="6" s="1"/>
  <c r="G66" i="6"/>
  <c r="H66" i="6" s="1"/>
  <c r="G58" i="6"/>
  <c r="H58" i="6" s="1"/>
  <c r="G50" i="6"/>
  <c r="H50" i="6" s="1"/>
  <c r="G42" i="6"/>
  <c r="H42" i="6" s="1"/>
  <c r="G34" i="6"/>
  <c r="H34" i="6" s="1"/>
  <c r="G26" i="6"/>
  <c r="H26" i="6" s="1"/>
  <c r="G18" i="6"/>
  <c r="H18" i="6" s="1"/>
  <c r="G10" i="6"/>
  <c r="H10" i="6" s="1"/>
  <c r="G2" i="6"/>
  <c r="H2" i="6" s="1"/>
  <c r="I2" i="6" s="1"/>
  <c r="G248" i="6"/>
  <c r="H248" i="6" s="1"/>
  <c r="I248" i="6" s="1"/>
  <c r="G232" i="6"/>
  <c r="H232" i="6" s="1"/>
  <c r="I232" i="6" s="1"/>
  <c r="G216" i="6"/>
  <c r="H216" i="6" s="1"/>
  <c r="I216" i="6" s="1"/>
  <c r="G200" i="6"/>
  <c r="H200" i="6" s="1"/>
  <c r="I200" i="6" s="1"/>
  <c r="G184" i="6"/>
  <c r="H184" i="6" s="1"/>
  <c r="G168" i="6"/>
  <c r="H168" i="6" s="1"/>
  <c r="G152" i="6"/>
  <c r="H152" i="6" s="1"/>
  <c r="G136" i="6"/>
  <c r="H136" i="6" s="1"/>
  <c r="G120" i="6"/>
  <c r="H120" i="6" s="1"/>
  <c r="G102" i="6"/>
  <c r="H102" i="6" s="1"/>
  <c r="G95" i="6"/>
  <c r="H95" i="6" s="1"/>
  <c r="G88" i="6"/>
  <c r="H88" i="6" s="1"/>
  <c r="G80" i="6"/>
  <c r="H80" i="6" s="1"/>
  <c r="G72" i="6"/>
  <c r="H72" i="6" s="1"/>
  <c r="G64" i="6"/>
  <c r="H64" i="6" s="1"/>
  <c r="G56" i="6"/>
  <c r="H56" i="6" s="1"/>
  <c r="G48" i="6"/>
  <c r="H48" i="6" s="1"/>
  <c r="G40" i="6"/>
  <c r="H40" i="6" s="1"/>
  <c r="G32" i="6"/>
  <c r="H32" i="6" s="1"/>
  <c r="G24" i="6"/>
  <c r="H24" i="6" s="1"/>
  <c r="G16" i="6"/>
  <c r="H16" i="6" s="1"/>
  <c r="G8" i="6"/>
  <c r="H8" i="6" s="1"/>
  <c r="G27" i="6"/>
  <c r="H27" i="6" s="1"/>
  <c r="G104" i="6"/>
  <c r="H104" i="6" s="1"/>
  <c r="G99" i="6"/>
  <c r="H99" i="6" s="1"/>
  <c r="G83" i="6"/>
  <c r="H83" i="6" s="1"/>
  <c r="G75" i="6"/>
  <c r="H75" i="6" s="1"/>
  <c r="G67" i="6"/>
  <c r="H67" i="6" s="1"/>
  <c r="G59" i="6"/>
  <c r="H59" i="6" s="1"/>
  <c r="G51" i="6"/>
  <c r="H51" i="6" s="1"/>
  <c r="G43" i="6"/>
  <c r="H43" i="6" s="1"/>
  <c r="G35" i="6"/>
  <c r="H35" i="6" s="1"/>
  <c r="G19" i="6"/>
  <c r="H19" i="6" s="1"/>
  <c r="G15" i="6"/>
  <c r="H15" i="6" s="1"/>
  <c r="G37" i="6"/>
  <c r="H37" i="6" s="1"/>
  <c r="G53" i="6"/>
  <c r="H53" i="6" s="1"/>
  <c r="G69" i="6"/>
  <c r="H69" i="6" s="1"/>
  <c r="G85" i="6"/>
  <c r="H85" i="6" s="1"/>
  <c r="G90" i="6"/>
  <c r="H90" i="6" s="1"/>
  <c r="G3" i="6"/>
  <c r="H3" i="6" s="1"/>
  <c r="G23" i="6"/>
  <c r="H23" i="6" s="1"/>
  <c r="G13" i="6"/>
  <c r="H13" i="6" s="1"/>
  <c r="J257" i="6" l="1"/>
  <c r="J249" i="6"/>
  <c r="I104" i="6"/>
  <c r="J209" i="6"/>
  <c r="J235" i="6"/>
  <c r="J245" i="6"/>
  <c r="I90" i="6"/>
  <c r="I20" i="6"/>
  <c r="I56" i="6"/>
  <c r="I35" i="6"/>
  <c r="I141" i="6"/>
  <c r="I174" i="6"/>
  <c r="I23" i="6"/>
  <c r="I83" i="6"/>
  <c r="I40" i="6"/>
  <c r="I102" i="6"/>
  <c r="J233" i="6"/>
  <c r="I50" i="6"/>
  <c r="I47" i="6"/>
  <c r="I4" i="6"/>
  <c r="I68" i="6"/>
  <c r="I176" i="6"/>
  <c r="I25" i="6"/>
  <c r="I91" i="6"/>
  <c r="I62" i="6"/>
  <c r="I125" i="6"/>
  <c r="I189" i="6"/>
  <c r="J254" i="6"/>
  <c r="I154" i="6"/>
  <c r="J219" i="6"/>
  <c r="I127" i="6"/>
  <c r="I191" i="6"/>
  <c r="J192" i="6" s="1"/>
  <c r="J256" i="6"/>
  <c r="I164" i="6"/>
  <c r="J229" i="6"/>
  <c r="I121" i="6"/>
  <c r="I185" i="6"/>
  <c r="J250" i="6"/>
  <c r="I158" i="6"/>
  <c r="J223" i="6"/>
  <c r="I131" i="6"/>
  <c r="J196" i="6"/>
  <c r="I63" i="6"/>
  <c r="J206" i="6"/>
  <c r="I116" i="6"/>
  <c r="J239" i="6"/>
  <c r="I3" i="6"/>
  <c r="I19" i="6"/>
  <c r="I99" i="6"/>
  <c r="I48" i="6"/>
  <c r="I120" i="6"/>
  <c r="I58" i="6"/>
  <c r="I55" i="6"/>
  <c r="I12" i="6"/>
  <c r="I76" i="6"/>
  <c r="J193" i="6"/>
  <c r="I33" i="6"/>
  <c r="I6" i="6"/>
  <c r="I70" i="6"/>
  <c r="I133" i="6"/>
  <c r="J198" i="6"/>
  <c r="I98" i="6"/>
  <c r="I162" i="6"/>
  <c r="J227" i="6"/>
  <c r="I135" i="6"/>
  <c r="J200" i="6"/>
  <c r="I108" i="6"/>
  <c r="I172" i="6"/>
  <c r="J237" i="6"/>
  <c r="I129" i="6"/>
  <c r="J194" i="6"/>
  <c r="I166" i="6"/>
  <c r="J231" i="6"/>
  <c r="I139" i="6"/>
  <c r="J204" i="6"/>
  <c r="I11" i="6"/>
  <c r="I77" i="6"/>
  <c r="I136" i="6"/>
  <c r="I14" i="6"/>
  <c r="J208" i="6"/>
  <c r="I110" i="6"/>
  <c r="I85" i="6"/>
  <c r="I43" i="6"/>
  <c r="I27" i="6"/>
  <c r="I64" i="6"/>
  <c r="I152" i="6"/>
  <c r="I10" i="6"/>
  <c r="I74" i="6"/>
  <c r="I71" i="6"/>
  <c r="I28" i="6"/>
  <c r="I96" i="6"/>
  <c r="J225" i="6"/>
  <c r="I49" i="6"/>
  <c r="I22" i="6"/>
  <c r="I86" i="6"/>
  <c r="I149" i="6"/>
  <c r="J214" i="6"/>
  <c r="I114" i="6"/>
  <c r="I178" i="6"/>
  <c r="J243" i="6"/>
  <c r="I151" i="6"/>
  <c r="J216" i="6"/>
  <c r="I124" i="6"/>
  <c r="I188" i="6"/>
  <c r="J253" i="6"/>
  <c r="I145" i="6"/>
  <c r="J210" i="6"/>
  <c r="I118" i="6"/>
  <c r="I182" i="6"/>
  <c r="J247" i="6"/>
  <c r="I155" i="6"/>
  <c r="J220" i="6"/>
  <c r="I45" i="6"/>
  <c r="I170" i="6"/>
  <c r="J202" i="6"/>
  <c r="I69" i="6"/>
  <c r="I51" i="6"/>
  <c r="I8" i="6"/>
  <c r="I72" i="6"/>
  <c r="I168" i="6"/>
  <c r="I18" i="6"/>
  <c r="I82" i="6"/>
  <c r="I79" i="6"/>
  <c r="I36" i="6"/>
  <c r="I112" i="6"/>
  <c r="J241" i="6"/>
  <c r="I57" i="6"/>
  <c r="I30" i="6"/>
  <c r="I93" i="6"/>
  <c r="I157" i="6"/>
  <c r="J222" i="6"/>
  <c r="I122" i="6"/>
  <c r="I186" i="6"/>
  <c r="J251" i="6"/>
  <c r="I159" i="6"/>
  <c r="J224" i="6"/>
  <c r="I132" i="6"/>
  <c r="J197" i="6"/>
  <c r="I89" i="6"/>
  <c r="I153" i="6"/>
  <c r="J218" i="6"/>
  <c r="I126" i="6"/>
  <c r="I190" i="6"/>
  <c r="J255" i="6"/>
  <c r="I163" i="6"/>
  <c r="J228" i="6"/>
  <c r="I29" i="6"/>
  <c r="I84" i="6"/>
  <c r="I137" i="6"/>
  <c r="I61" i="6"/>
  <c r="I53" i="6"/>
  <c r="I59" i="6"/>
  <c r="I16" i="6"/>
  <c r="I80" i="6"/>
  <c r="I184" i="6"/>
  <c r="I26" i="6"/>
  <c r="I92" i="6"/>
  <c r="I87" i="6"/>
  <c r="I44" i="6"/>
  <c r="I128" i="6"/>
  <c r="I65" i="6"/>
  <c r="I38" i="6"/>
  <c r="I101" i="6"/>
  <c r="I165" i="6"/>
  <c r="J230" i="6"/>
  <c r="I130" i="6"/>
  <c r="J195" i="6"/>
  <c r="I103" i="6"/>
  <c r="I167" i="6"/>
  <c r="J232" i="6"/>
  <c r="I140" i="6"/>
  <c r="J205" i="6"/>
  <c r="I97" i="6"/>
  <c r="I161" i="6"/>
  <c r="J226" i="6"/>
  <c r="I134" i="6"/>
  <c r="J199" i="6"/>
  <c r="I107" i="6"/>
  <c r="I171" i="6"/>
  <c r="J236" i="6"/>
  <c r="I21" i="6"/>
  <c r="I66" i="6"/>
  <c r="I78" i="6"/>
  <c r="I143" i="6"/>
  <c r="J212" i="6"/>
  <c r="I37" i="6"/>
  <c r="I67" i="6"/>
  <c r="I24" i="6"/>
  <c r="I88" i="6"/>
  <c r="J201" i="6"/>
  <c r="I34" i="6"/>
  <c r="I100" i="6"/>
  <c r="I94" i="6"/>
  <c r="I52" i="6"/>
  <c r="I144" i="6"/>
  <c r="I9" i="6"/>
  <c r="I73" i="6"/>
  <c r="I46" i="6"/>
  <c r="I109" i="6"/>
  <c r="I173" i="6"/>
  <c r="J238" i="6"/>
  <c r="I138" i="6"/>
  <c r="J203" i="6"/>
  <c r="I111" i="6"/>
  <c r="I175" i="6"/>
  <c r="J240" i="6"/>
  <c r="I148" i="6"/>
  <c r="J213" i="6"/>
  <c r="I105" i="6"/>
  <c r="I169" i="6"/>
  <c r="J234" i="6"/>
  <c r="I142" i="6"/>
  <c r="J207" i="6"/>
  <c r="I115" i="6"/>
  <c r="I179" i="6"/>
  <c r="J244" i="6"/>
  <c r="I7" i="6"/>
  <c r="I41" i="6"/>
  <c r="I106" i="6"/>
  <c r="I180" i="6"/>
  <c r="I147" i="6"/>
  <c r="I13" i="6"/>
  <c r="I15" i="6"/>
  <c r="I75" i="6"/>
  <c r="I32" i="6"/>
  <c r="I95" i="6"/>
  <c r="J217" i="6"/>
  <c r="I42" i="6"/>
  <c r="I39" i="6"/>
  <c r="I31" i="6"/>
  <c r="I60" i="6"/>
  <c r="I160" i="6"/>
  <c r="I17" i="6"/>
  <c r="I81" i="6"/>
  <c r="I54" i="6"/>
  <c r="I117" i="6"/>
  <c r="I181" i="6"/>
  <c r="J246" i="6"/>
  <c r="I146" i="6"/>
  <c r="J211" i="6"/>
  <c r="I119" i="6"/>
  <c r="I183" i="6"/>
  <c r="J248" i="6"/>
  <c r="I156" i="6"/>
  <c r="J221" i="6"/>
  <c r="I113" i="6"/>
  <c r="I177" i="6"/>
  <c r="J242" i="6"/>
  <c r="I150" i="6"/>
  <c r="J215" i="6"/>
  <c r="I123" i="6"/>
  <c r="I187" i="6"/>
  <c r="J252" i="6"/>
  <c r="I5" i="6"/>
  <c r="J2" i="6" l="1"/>
  <c r="J191" i="6"/>
  <c r="J105" i="6"/>
  <c r="J61" i="6"/>
  <c r="J8" i="6"/>
  <c r="J91" i="6"/>
  <c r="J178" i="6"/>
  <c r="J63" i="6"/>
  <c r="J57" i="6"/>
  <c r="J182" i="6"/>
  <c r="J40" i="6"/>
  <c r="J148" i="6"/>
  <c r="J35" i="6"/>
  <c r="J79" i="6"/>
  <c r="J104" i="6"/>
  <c r="J129" i="6"/>
  <c r="J189" i="6"/>
  <c r="J20" i="6"/>
  <c r="J164" i="6"/>
  <c r="J118" i="6"/>
  <c r="J58" i="6"/>
  <c r="J125" i="6"/>
  <c r="J4" i="6"/>
  <c r="J14" i="6"/>
  <c r="J133" i="6"/>
  <c r="J47" i="6"/>
  <c r="J67" i="6"/>
  <c r="J11" i="6"/>
  <c r="J55" i="6"/>
  <c r="J107" i="6"/>
  <c r="J176" i="6"/>
  <c r="J89" i="6"/>
  <c r="J162" i="6"/>
  <c r="J127" i="6"/>
  <c r="J23" i="6"/>
  <c r="J116" i="6"/>
  <c r="J124" i="6"/>
  <c r="J184" i="6"/>
  <c r="J82" i="6"/>
  <c r="J96" i="6"/>
  <c r="J112" i="6"/>
  <c r="J10" i="6"/>
  <c r="J25" i="6"/>
  <c r="J22" i="6"/>
  <c r="J98" i="6"/>
  <c r="J50" i="6"/>
  <c r="J6" i="6"/>
  <c r="J101" i="6"/>
  <c r="J43" i="6"/>
  <c r="J151" i="6"/>
  <c r="J120" i="6"/>
  <c r="J3" i="6"/>
  <c r="J145" i="6"/>
  <c r="J68" i="6"/>
  <c r="J27" i="6"/>
  <c r="J85" i="6"/>
  <c r="J154" i="6"/>
  <c r="J70" i="6"/>
  <c r="J28" i="6"/>
  <c r="J12" i="6"/>
  <c r="J114" i="6"/>
  <c r="J174" i="6"/>
  <c r="J157" i="6"/>
  <c r="J161" i="6"/>
  <c r="J76" i="6"/>
  <c r="J170" i="6"/>
  <c r="J139" i="6"/>
  <c r="J38" i="6"/>
  <c r="J172" i="6"/>
  <c r="J141" i="6"/>
  <c r="J102" i="6"/>
  <c r="J185" i="6"/>
  <c r="J90" i="6"/>
  <c r="J121" i="6"/>
  <c r="J108" i="6"/>
  <c r="J158" i="6"/>
  <c r="J83" i="6"/>
  <c r="J110" i="6"/>
  <c r="J135" i="6"/>
  <c r="J31" i="6"/>
  <c r="J169" i="6"/>
  <c r="J150" i="6"/>
  <c r="J75" i="6"/>
  <c r="J167" i="6"/>
  <c r="J45" i="6"/>
  <c r="J77" i="6"/>
  <c r="J42" i="6"/>
  <c r="J99" i="6"/>
  <c r="J132" i="6"/>
  <c r="J18" i="6"/>
  <c r="J33" i="6"/>
  <c r="J143" i="6"/>
  <c r="J93" i="6"/>
  <c r="J56" i="6"/>
  <c r="J147" i="6"/>
  <c r="J16" i="6"/>
  <c r="J74" i="6"/>
  <c r="J131" i="6"/>
  <c r="J88" i="6"/>
  <c r="J62" i="6"/>
  <c r="J160" i="6"/>
  <c r="J73" i="6"/>
  <c r="J156" i="6"/>
  <c r="J87" i="6"/>
  <c r="J15" i="6"/>
  <c r="J163" i="6"/>
  <c r="J92" i="6"/>
  <c r="J103" i="6"/>
  <c r="J138" i="6"/>
  <c r="J9" i="6"/>
  <c r="J153" i="6"/>
  <c r="J137" i="6"/>
  <c r="J130" i="6"/>
  <c r="J13" i="6"/>
  <c r="J159" i="6"/>
  <c r="J128" i="6"/>
  <c r="J26" i="6"/>
  <c r="J41" i="6"/>
  <c r="J166" i="6"/>
  <c r="J187" i="6"/>
  <c r="J113" i="6"/>
  <c r="J52" i="6"/>
  <c r="J183" i="6"/>
  <c r="J152" i="6"/>
  <c r="J65" i="6"/>
  <c r="J78" i="6"/>
  <c r="J117" i="6"/>
  <c r="J177" i="6"/>
  <c r="J84" i="6"/>
  <c r="J53" i="6"/>
  <c r="J123" i="6"/>
  <c r="J37" i="6"/>
  <c r="J119" i="6"/>
  <c r="J173" i="6"/>
  <c r="J134" i="6"/>
  <c r="J59" i="6"/>
  <c r="J186" i="6"/>
  <c r="J155" i="6"/>
  <c r="J69" i="6"/>
  <c r="J24" i="6"/>
  <c r="J32" i="6"/>
  <c r="J106" i="6"/>
  <c r="J95" i="6"/>
  <c r="J39" i="6"/>
  <c r="J81" i="6"/>
  <c r="J30" i="6"/>
  <c r="J80" i="6"/>
  <c r="J179" i="6"/>
  <c r="J97" i="6"/>
  <c r="J44" i="6"/>
  <c r="J109" i="6"/>
  <c r="J71" i="6"/>
  <c r="J64" i="6"/>
  <c r="J122" i="6"/>
  <c r="J5" i="6"/>
  <c r="J175" i="6"/>
  <c r="J144" i="6"/>
  <c r="J168" i="6"/>
  <c r="J66" i="6"/>
  <c r="J17" i="6"/>
  <c r="J171" i="6"/>
  <c r="J146" i="6"/>
  <c r="J115" i="6"/>
  <c r="J29" i="6"/>
  <c r="J86" i="6"/>
  <c r="J140" i="6"/>
  <c r="J7" i="6"/>
  <c r="J49" i="6"/>
  <c r="J36" i="6"/>
  <c r="J190" i="6"/>
  <c r="J48" i="6"/>
  <c r="J142" i="6"/>
  <c r="J54" i="6"/>
  <c r="J188" i="6"/>
  <c r="J181" i="6"/>
  <c r="J180" i="6"/>
  <c r="J149" i="6"/>
  <c r="J60" i="6"/>
  <c r="J94" i="6"/>
  <c r="J19" i="6"/>
  <c r="J46" i="6"/>
  <c r="J72" i="6"/>
  <c r="J111" i="6"/>
  <c r="J136" i="6"/>
  <c r="J34" i="6"/>
  <c r="J100" i="6"/>
  <c r="J165" i="6"/>
  <c r="J126" i="6"/>
  <c r="J51" i="6"/>
  <c r="J21" i="6"/>
  <c r="J163" i="1" l="1"/>
  <c r="J181" i="1"/>
  <c r="I170" i="1" a="1"/>
  <c r="I170" i="1" s="1"/>
  <c r="B13" i="4" l="1"/>
  <c r="B12" i="4"/>
  <c r="B11" i="4"/>
  <c r="B9" i="4"/>
  <c r="B10" i="4"/>
  <c r="B8" i="4"/>
  <c r="B4" i="4"/>
  <c r="K2" i="1" s="1"/>
  <c r="B3" i="4"/>
  <c r="B2" i="4"/>
  <c r="B7" i="4"/>
  <c r="B6" i="4"/>
  <c r="B5" i="4"/>
  <c r="J209" i="1" l="1" a="1"/>
  <c r="J209" i="1" s="1"/>
  <c r="J206" i="1" a="1"/>
  <c r="J206" i="1" s="1"/>
  <c r="F212" i="1" a="1"/>
  <c r="F212" i="1" s="1"/>
  <c r="F206" i="1" a="1"/>
  <c r="F206" i="1" s="1"/>
  <c r="B215" i="1" a="1"/>
  <c r="B215" i="1" s="1"/>
  <c r="B206" i="1" a="1"/>
  <c r="B206" i="1" s="1"/>
  <c r="J191" i="1" a="1"/>
  <c r="J191" i="1" s="1"/>
  <c r="J188" i="1" a="1"/>
  <c r="J188" i="1" s="1"/>
  <c r="I188" i="1" a="1"/>
  <c r="I188" i="1" s="1"/>
  <c r="F194" i="1" a="1"/>
  <c r="F194" i="1" s="1"/>
  <c r="F188" i="1" a="1"/>
  <c r="F188" i="1" s="1"/>
  <c r="B197" i="1" a="1"/>
  <c r="B197" i="1" s="1"/>
  <c r="B188" i="1" a="1"/>
  <c r="B188" i="1" s="1"/>
  <c r="I191" i="1" a="1"/>
  <c r="I191" i="1" s="1"/>
  <c r="E194" i="1" a="1"/>
  <c r="E194" i="1" s="1"/>
  <c r="E188" i="1" a="1"/>
  <c r="E188" i="1" s="1"/>
  <c r="A197" i="1" a="1"/>
  <c r="A197" i="1" s="1"/>
  <c r="A188" i="1" a="1"/>
  <c r="A188" i="1" s="1"/>
  <c r="A170" i="1" a="1"/>
  <c r="A170" i="1" s="1"/>
  <c r="F170" i="1" a="1"/>
  <c r="F170" i="1" s="1"/>
  <c r="J173" i="1" a="1"/>
  <c r="J173" i="1" s="1"/>
  <c r="I173" i="1" a="1"/>
  <c r="I173" i="1" s="1"/>
  <c r="J170" i="1" a="1"/>
  <c r="J170" i="1" s="1"/>
  <c r="F176" i="1" a="1"/>
  <c r="F176" i="1" s="1"/>
  <c r="E176" i="1" a="1"/>
  <c r="E176" i="1" s="1"/>
  <c r="E170" i="1" a="1"/>
  <c r="E170" i="1" s="1"/>
  <c r="A179" i="1" a="1"/>
  <c r="A179" i="1" s="1"/>
  <c r="B179" i="1" a="1"/>
  <c r="B179" i="1" s="1"/>
  <c r="B170" i="1" a="1"/>
  <c r="B170" i="1" s="1"/>
  <c r="M99" i="1"/>
  <c r="J155" i="1" a="1"/>
  <c r="J155" i="1" s="1"/>
  <c r="J152" i="1" a="1"/>
  <c r="J152" i="1" s="1"/>
  <c r="F158" i="1" a="1"/>
  <c r="F158" i="1" s="1"/>
  <c r="F152" i="1" a="1"/>
  <c r="F152" i="1" s="1"/>
  <c r="B161" i="1" a="1"/>
  <c r="B161" i="1" s="1"/>
  <c r="B152" i="1" a="1"/>
  <c r="B152" i="1" s="1"/>
  <c r="F95" i="1"/>
  <c r="F101" i="1" s="1"/>
  <c r="F107" i="1" s="1"/>
  <c r="F111" i="1" s="1"/>
  <c r="G95" i="1"/>
  <c r="G101" i="1" s="1"/>
  <c r="G107" i="1" s="1"/>
  <c r="G111" i="1" s="1"/>
  <c r="H95" i="1"/>
  <c r="H101" i="1" s="1"/>
  <c r="H107" i="1" s="1"/>
  <c r="H111" i="1" s="1"/>
  <c r="I95" i="1"/>
  <c r="I101" i="1" s="1"/>
  <c r="I107" i="1" s="1"/>
  <c r="I111" i="1" s="1"/>
  <c r="J95" i="1"/>
  <c r="J101" i="1" s="1"/>
  <c r="J107" i="1" s="1"/>
  <c r="J111" i="1" s="1"/>
  <c r="K95" i="1"/>
  <c r="K101" i="1" s="1"/>
  <c r="K107" i="1" s="1"/>
  <c r="K111" i="1" s="1"/>
  <c r="L95" i="1"/>
  <c r="L101" i="1" s="1"/>
  <c r="L107" i="1" s="1"/>
  <c r="L111" i="1" s="1"/>
  <c r="M89" i="1"/>
  <c r="M68" i="1"/>
  <c r="M74" i="1" s="1"/>
  <c r="M80" i="1" s="1"/>
  <c r="M84" i="1" s="1"/>
  <c r="L68" i="1"/>
  <c r="L74" i="1" s="1"/>
  <c r="L80" i="1" s="1"/>
  <c r="L84" i="1" s="1"/>
  <c r="K68" i="1"/>
  <c r="K74" i="1" s="1"/>
  <c r="K80" i="1" s="1"/>
  <c r="K84" i="1" s="1"/>
  <c r="J68" i="1"/>
  <c r="J74" i="1" s="1"/>
  <c r="J80" i="1" s="1"/>
  <c r="J84" i="1" s="1"/>
  <c r="I68" i="1"/>
  <c r="I74" i="1" s="1"/>
  <c r="I80" i="1" s="1"/>
  <c r="I84" i="1" s="1"/>
  <c r="H68" i="1"/>
  <c r="H74" i="1" s="1"/>
  <c r="H80" i="1" s="1"/>
  <c r="H84" i="1" s="1"/>
  <c r="G68" i="1"/>
  <c r="G74" i="1" s="1"/>
  <c r="G80" i="1" s="1"/>
  <c r="G84" i="1" s="1"/>
  <c r="M91" i="1"/>
  <c r="M93" i="1"/>
  <c r="M97" i="1"/>
  <c r="M109" i="1"/>
  <c r="M105" i="1"/>
  <c r="M103" i="1"/>
  <c r="G41" i="1"/>
  <c r="G47" i="1" s="1"/>
  <c r="G53" i="1" s="1"/>
  <c r="G57" i="1" s="1"/>
  <c r="H41" i="1"/>
  <c r="H47" i="1" s="1"/>
  <c r="H53" i="1" s="1"/>
  <c r="H57" i="1" s="1"/>
  <c r="I41" i="1"/>
  <c r="I47" i="1" s="1"/>
  <c r="I53" i="1" s="1"/>
  <c r="I57" i="1" s="1"/>
  <c r="J41" i="1"/>
  <c r="J47" i="1" s="1"/>
  <c r="J53" i="1" s="1"/>
  <c r="J57" i="1" s="1"/>
  <c r="K41" i="1"/>
  <c r="K47" i="1" s="1"/>
  <c r="K53" i="1" s="1"/>
  <c r="K57" i="1" s="1"/>
  <c r="L41" i="1"/>
  <c r="L47" i="1" s="1"/>
  <c r="L53" i="1" s="1"/>
  <c r="L57" i="1" s="1"/>
  <c r="M41" i="1"/>
  <c r="M47" i="1" s="1"/>
  <c r="M53" i="1" s="1"/>
  <c r="M57" i="1" s="1"/>
  <c r="F14" i="1"/>
  <c r="F20" i="1" s="1"/>
  <c r="F26" i="1" s="1"/>
  <c r="F30" i="1" s="1"/>
  <c r="G14" i="1"/>
  <c r="G20" i="1" s="1"/>
  <c r="G26" i="1" s="1"/>
  <c r="G30" i="1" s="1"/>
  <c r="H14" i="1"/>
  <c r="H20" i="1" s="1"/>
  <c r="H26" i="1" s="1"/>
  <c r="H30" i="1" s="1"/>
  <c r="I14" i="1"/>
  <c r="I20" i="1" s="1"/>
  <c r="I26" i="1" s="1"/>
  <c r="I30" i="1" s="1"/>
  <c r="J14" i="1"/>
  <c r="J20" i="1" s="1"/>
  <c r="J26" i="1" s="1"/>
  <c r="J30" i="1" s="1"/>
  <c r="K14" i="1"/>
  <c r="K20" i="1" s="1"/>
  <c r="K26" i="1" s="1"/>
  <c r="K30" i="1" s="1"/>
  <c r="L14" i="1"/>
  <c r="L20" i="1" s="1"/>
  <c r="L26" i="1" s="1"/>
  <c r="L30" i="1" s="1"/>
  <c r="M14" i="1"/>
  <c r="M20" i="1" s="1"/>
  <c r="M26" i="1" s="1"/>
  <c r="M30" i="1" s="1"/>
  <c r="C152" i="3" l="1"/>
  <c r="C100" i="3"/>
  <c r="E1" i="1" l="1"/>
  <c r="B8" i="1" l="1"/>
  <c r="B30" i="1"/>
  <c r="B26" i="1"/>
  <c r="B14" i="1"/>
  <c r="F143" i="1" l="1"/>
  <c r="G143" i="1"/>
  <c r="H143" i="1"/>
  <c r="E14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23" i="1"/>
  <c r="E95" i="1"/>
  <c r="E101" i="1" s="1"/>
  <c r="E107" i="1" s="1"/>
  <c r="E111" i="1" s="1"/>
  <c r="F68" i="1"/>
  <c r="F74" i="1" s="1"/>
  <c r="F80" i="1" s="1"/>
  <c r="F84" i="1" s="1"/>
  <c r="F41" i="1"/>
  <c r="F47" i="1" s="1"/>
  <c r="F53" i="1" s="1"/>
  <c r="F57" i="1" s="1"/>
  <c r="E14" i="1"/>
  <c r="E20" i="1" l="1"/>
  <c r="M95" i="1"/>
  <c r="I143" i="1"/>
  <c r="E26" i="1" l="1"/>
  <c r="M101" i="1"/>
  <c r="B110" i="1"/>
  <c r="B106" i="1"/>
  <c r="B104" i="1"/>
  <c r="B100" i="1"/>
  <c r="B98" i="1"/>
  <c r="B92" i="1"/>
  <c r="B83" i="1"/>
  <c r="B79" i="1"/>
  <c r="B77" i="1"/>
  <c r="B73" i="1"/>
  <c r="B71" i="1"/>
  <c r="B65" i="1"/>
  <c r="B56" i="1"/>
  <c r="B52" i="1"/>
  <c r="B50" i="1"/>
  <c r="B46" i="1"/>
  <c r="B44" i="1"/>
  <c r="B38" i="1"/>
  <c r="E30" i="1" l="1"/>
  <c r="M111" i="1" s="1"/>
  <c r="K116" i="1" s="1"/>
  <c r="K143" i="1" s="1"/>
  <c r="K144" i="1" s="1"/>
  <c r="M107" i="1"/>
  <c r="J199" i="1"/>
  <c r="J217" i="1" l="1"/>
  <c r="K217" i="1" s="1"/>
  <c r="B53" i="1"/>
  <c r="B91" i="1"/>
  <c r="B93" i="1"/>
  <c r="B97" i="1"/>
  <c r="B99" i="1"/>
  <c r="B101" i="1"/>
  <c r="B103" i="1"/>
  <c r="B105" i="1"/>
  <c r="B109" i="1"/>
  <c r="A91" i="1"/>
  <c r="A93" i="1"/>
  <c r="A95" i="1"/>
  <c r="A97" i="1"/>
  <c r="A99" i="1"/>
  <c r="A101" i="1"/>
  <c r="A102" i="1"/>
  <c r="A103" i="1"/>
  <c r="A105" i="1"/>
  <c r="A107" i="1"/>
  <c r="A109" i="1"/>
  <c r="A111" i="1"/>
  <c r="A89" i="1"/>
  <c r="A66" i="1"/>
  <c r="B66" i="1"/>
  <c r="A84" i="1"/>
  <c r="A64" i="1"/>
  <c r="B64" i="1"/>
  <c r="A68" i="1"/>
  <c r="A70" i="1"/>
  <c r="B70" i="1"/>
  <c r="A72" i="1"/>
  <c r="B72" i="1"/>
  <c r="A74" i="1"/>
  <c r="B74" i="1"/>
  <c r="A75" i="1"/>
  <c r="A76" i="1"/>
  <c r="B76" i="1"/>
  <c r="A78" i="1"/>
  <c r="B78" i="1"/>
  <c r="A80" i="1"/>
  <c r="A82" i="1"/>
  <c r="B82" i="1"/>
  <c r="A62" i="1"/>
  <c r="A57" i="1"/>
  <c r="A37" i="1"/>
  <c r="B37" i="1"/>
  <c r="A39" i="1"/>
  <c r="B39" i="1"/>
  <c r="A41" i="1"/>
  <c r="A43" i="1"/>
  <c r="B43" i="1"/>
  <c r="A45" i="1"/>
  <c r="B45" i="1"/>
  <c r="A47" i="1"/>
  <c r="B47" i="1"/>
  <c r="A48" i="1"/>
  <c r="A49" i="1"/>
  <c r="B49" i="1"/>
  <c r="A51" i="1"/>
  <c r="B51" i="1"/>
  <c r="A53" i="1"/>
  <c r="A55" i="1"/>
  <c r="B55" i="1"/>
  <c r="A35" i="1"/>
  <c r="B41" i="1"/>
  <c r="B57" i="1"/>
  <c r="B35" i="1"/>
  <c r="B107" i="1" l="1"/>
  <c r="B111" i="1"/>
  <c r="B95" i="1"/>
  <c r="B89" i="1"/>
  <c r="B62" i="1"/>
  <c r="B80" i="1"/>
  <c r="B68" i="1"/>
  <c r="B84" i="1"/>
  <c r="K1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Cordova</author>
  </authors>
  <commentList>
    <comment ref="C1" authorId="0" shapeId="0" xr:uid="{97E85483-979C-4E6E-BB71-7E6A28E42923}">
      <text>
        <r>
          <rPr>
            <b/>
            <sz val="9"/>
            <color indexed="81"/>
            <rFont val="Tahoma"/>
            <family val="2"/>
          </rPr>
          <t>Dropdown list</t>
        </r>
      </text>
    </comment>
    <comment ref="K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Dropdown list</t>
        </r>
      </text>
    </comment>
    <comment ref="M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Beginning FY21, required to be reported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<sst xmlns="http://schemas.openxmlformats.org/spreadsheetml/2006/main" count="1294" uniqueCount="869">
  <si>
    <t>PED No.:</t>
  </si>
  <si>
    <t xml:space="preserve"> </t>
  </si>
  <si>
    <t>OPERATIONAL</t>
  </si>
  <si>
    <t>TEACHERAGE</t>
  </si>
  <si>
    <t>INST. MATERIALS</t>
  </si>
  <si>
    <t>FOOD SERVICES</t>
  </si>
  <si>
    <t>ATHLETICS</t>
  </si>
  <si>
    <t>NON-INSTRUCT.</t>
  </si>
  <si>
    <t>FUND</t>
  </si>
  <si>
    <t>Line 1</t>
  </si>
  <si>
    <t>+OR-</t>
  </si>
  <si>
    <t>Line 2</t>
  </si>
  <si>
    <t>+</t>
  </si>
  <si>
    <t>Line 3</t>
  </si>
  <si>
    <t xml:space="preserve">Prior Year Warrants Voided </t>
  </si>
  <si>
    <t>Line 4</t>
  </si>
  <si>
    <t>=</t>
  </si>
  <si>
    <t>Line 5</t>
  </si>
  <si>
    <t>Current Year Expenditures to Date</t>
  </si>
  <si>
    <t>-</t>
  </si>
  <si>
    <t>Line 6</t>
  </si>
  <si>
    <t>Line 7</t>
  </si>
  <si>
    <t xml:space="preserve">Total Cash </t>
  </si>
  <si>
    <t>Other Reconciling Items</t>
  </si>
  <si>
    <t>Line 8</t>
  </si>
  <si>
    <t>Line 9</t>
  </si>
  <si>
    <t>Line 10</t>
  </si>
  <si>
    <t>Line 11</t>
  </si>
  <si>
    <t xml:space="preserve">Total Outstanding Loans </t>
  </si>
  <si>
    <t>Line 12</t>
  </si>
  <si>
    <t>Month/Quarter:</t>
  </si>
  <si>
    <t>FLOWTHROUGH</t>
  </si>
  <si>
    <t>DIRECT</t>
  </si>
  <si>
    <t>STATE</t>
  </si>
  <si>
    <t>LOCAL OR STATE</t>
  </si>
  <si>
    <t>FEDERAL</t>
  </si>
  <si>
    <t>BOND BUILDING</t>
  </si>
  <si>
    <t>Refer to "Instructions for PED Cash Report" for details on how to properly complete this form.</t>
  </si>
  <si>
    <t>SPECIAL CAPITAL OUTLAY</t>
  </si>
  <si>
    <t>LOCAL</t>
  </si>
  <si>
    <t>PSCOC 20%</t>
  </si>
  <si>
    <t>DEBT SERVICE</t>
  </si>
  <si>
    <t>PUBLIC SCHOOL CAPITAL OUTLAY</t>
  </si>
  <si>
    <t>ENERGY EFFICIENCY</t>
  </si>
  <si>
    <t>ED. TECH EQUIP ACT</t>
  </si>
  <si>
    <t>DEFERRED SICK LEAVE</t>
  </si>
  <si>
    <t xml:space="preserve">Column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</si>
  <si>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</si>
  <si>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</si>
  <si>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</si>
  <si>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</si>
  <si>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</si>
  <si>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</si>
  <si>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</si>
  <si>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</si>
  <si>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</si>
  <si>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From Bank Statements</t>
  </si>
  <si>
    <t>Adjustments to Bank Statements</t>
  </si>
  <si>
    <t>Adjusted Bank Balance</t>
  </si>
  <si>
    <t xml:space="preserve"> Net Outstanding Items</t>
  </si>
  <si>
    <t xml:space="preserve"> Outstanding</t>
  </si>
  <si>
    <t xml:space="preserve">Bank </t>
  </si>
  <si>
    <t>(Checks) Deposits</t>
  </si>
  <si>
    <t>Interbank transfers</t>
  </si>
  <si>
    <t>From line 12 Grand Total All</t>
  </si>
  <si>
    <t xml:space="preserve">  Totals</t>
  </si>
  <si>
    <t>Please provide Page 1 of each of your Bank Statement(s).</t>
  </si>
  <si>
    <t>* PERMANENT CASH TRANSFERS/REVERSIONS (LINE 6)</t>
  </si>
  <si>
    <t>AMOUNT</t>
  </si>
  <si>
    <t>Explicit Explanation</t>
  </si>
  <si>
    <t>I, hereby, certify that the information contained in this cash report reconciles to the General Ledger.</t>
  </si>
  <si>
    <t>Signature of Licensed Business Manager</t>
  </si>
  <si>
    <t>Date</t>
  </si>
  <si>
    <t>Report end date:</t>
  </si>
  <si>
    <t>(Per OBMS Actuals Revenue Report)</t>
  </si>
  <si>
    <t>Adjusted Bank Balance (Column H)</t>
  </si>
  <si>
    <t>Adjustments to Bank Statements (Columns F and G)</t>
  </si>
  <si>
    <t>From Bank Statement (Columns B through E)</t>
  </si>
  <si>
    <t>INSTRUCTIONS FOR BANK ACCOUNT INFORMATION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</si>
  <si>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10 through 11.</t>
    </r>
  </si>
  <si>
    <t>Line 12- Total Ending Cash</t>
  </si>
  <si>
    <t>Line 11- Total Outstanding Loans</t>
  </si>
  <si>
    <t>Line 10 – Total Reconciled Cash Balance</t>
  </si>
  <si>
    <t>Line 9 - Adjustments</t>
  </si>
  <si>
    <t>Line 8 – Total Payroll Liabilities (Not available to budget)</t>
  </si>
  <si>
    <t>Line 7- Total Cash</t>
  </si>
  <si>
    <t>Line 6- Permanent Cash Transfers/Reversions</t>
  </si>
  <si>
    <t>Line 4 - Total Resources to Date for Current Year</t>
  </si>
  <si>
    <t>Line 3 - Prior Year Warrants Voided</t>
  </si>
  <si>
    <t>Line 1 - Total Cash 6/30/xxxx</t>
  </si>
  <si>
    <t>INSTRUCTIONS FOR PED CASH REPORT</t>
  </si>
  <si>
    <t>Line 2- Current Year Revenue to Date (Per OBMS Actuals Revenue Report)</t>
  </si>
  <si>
    <t>Adjustment Amount</t>
  </si>
  <si>
    <t>FROM FUND</t>
  </si>
  <si>
    <t>TO FUND and Explicit Explanation</t>
  </si>
  <si>
    <t>** OTHER RECONCILING ITEMS - PAYROLL LIABILITIES (LINE 8 )</t>
  </si>
  <si>
    <t>Adjustment Description</t>
  </si>
  <si>
    <t>LOCAL GRANTS</t>
  </si>
  <si>
    <t>TRANSPORTATION</t>
  </si>
  <si>
    <t>Revised 07-09-2020</t>
  </si>
  <si>
    <t>reconciles to the District’s/Charter’s General Ledger.</t>
  </si>
  <si>
    <t>You will now be required to certify that the information contained in the Cash Report</t>
  </si>
  <si>
    <t>tie to Column J “Adjustment Amount” Totals.</t>
  </si>
  <si>
    <t>Upon successful completion of the form, Column H total “Adjusted Bank Balance” must</t>
  </si>
  <si>
    <t>this, list the amounts for the descriptions in Column I, as either a plus or a minus.</t>
  </si>
  <si>
    <t>and is the Grand Total Cash for All Funds. DO NOT CHANGE THIS AMOUNT. Below</t>
  </si>
  <si>
    <r>
      <rPr>
        <b/>
        <sz val="11"/>
        <color theme="1"/>
        <rFont val="Calibri"/>
        <family val="2"/>
        <scheme val="minor"/>
      </rPr>
      <t>Column J</t>
    </r>
    <r>
      <rPr>
        <sz val="11"/>
        <color theme="1"/>
        <rFont val="Calibri"/>
        <family val="2"/>
        <scheme val="minor"/>
      </rPr>
      <t xml:space="preserve">   The first row of this column is brought down from Line 12 of the Cash Report</t>
    </r>
  </si>
  <si>
    <t>payables.</t>
  </si>
  <si>
    <t>NOT affecting the bank statements, will be described here; such as, receivables and</t>
  </si>
  <si>
    <t>auditor; for example Non-Instructional Student Activity Funds. Any other adjustments,</t>
  </si>
  <si>
    <r>
      <rPr>
        <b/>
        <sz val="11"/>
        <color theme="1"/>
        <rFont val="Calibri"/>
        <family val="2"/>
        <scheme val="minor"/>
      </rPr>
      <t>Column H</t>
    </r>
    <r>
      <rPr>
        <sz val="11"/>
        <color theme="1"/>
        <rFont val="Calibri"/>
        <family val="2"/>
        <scheme val="minor"/>
      </rPr>
      <t xml:space="preserve">   This column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total of Columns D through G.</t>
    </r>
  </si>
  <si>
    <t>bank adjustments.</t>
  </si>
  <si>
    <t>the bank for zero balance accounts (clearing accounts), any interbank loans and other</t>
  </si>
  <si>
    <t>yet transferred between banks. Included here are any temporary transfers not made by</t>
  </si>
  <si>
    <r>
      <rPr>
        <b/>
        <sz val="11"/>
        <color theme="1"/>
        <rFont val="Calibri"/>
        <family val="2"/>
        <scheme val="minor"/>
      </rPr>
      <t>Column G</t>
    </r>
    <r>
      <rPr>
        <sz val="11"/>
        <color theme="1"/>
        <rFont val="Calibri"/>
        <family val="2"/>
        <scheme val="minor"/>
      </rPr>
      <t xml:space="preserve">   List any interfund transfers that are recorded on the General Ledger, but not</t>
    </r>
  </si>
  <si>
    <t>be listed as a minus (-) and Deposits as a plus (+).</t>
  </si>
  <si>
    <r>
      <rPr>
        <b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 xml:space="preserve">   List any outstanding checks or deposits under this heading. Checks should</t>
    </r>
  </si>
  <si>
    <t>shown on the statement, depending on bank processes.</t>
  </si>
  <si>
    <t>sweep accounts under “Overnight Investments”. This may be the last outgoing transfer</t>
  </si>
  <si>
    <r>
      <rPr>
        <b/>
        <sz val="11"/>
        <color theme="1"/>
        <rFont val="Calibri"/>
        <family val="2"/>
        <scheme val="minor"/>
      </rPr>
      <t>Column E</t>
    </r>
    <r>
      <rPr>
        <sz val="11"/>
        <color theme="1"/>
        <rFont val="Calibri"/>
        <family val="2"/>
        <scheme val="minor"/>
      </rPr>
      <t xml:space="preserve">   List all of the amounts not shown on bank statements such as overnight</t>
    </r>
  </si>
  <si>
    <t>used by the district under “Statement Balance”</t>
  </si>
  <si>
    <r>
      <rPr>
        <b/>
        <sz val="11"/>
        <color theme="1"/>
        <rFont val="Calibri"/>
        <family val="2"/>
        <scheme val="minor"/>
      </rPr>
      <t xml:space="preserve">Column D   </t>
    </r>
    <r>
      <rPr>
        <sz val="11"/>
        <color theme="1"/>
        <rFont val="Calibri"/>
        <family val="2"/>
        <scheme val="minor"/>
      </rPr>
      <t>List the ending balance from Bank Statement for each bank or investment</t>
    </r>
  </si>
  <si>
    <r>
      <rPr>
        <b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 xml:space="preserve">   List the name of bank or financial institution under “Bank”.</t>
    </r>
  </si>
  <si>
    <t>any Agency Funds…these will be adjusted on Column I).</t>
  </si>
  <si>
    <t>Name/Type”. (All Bank accounts as reported to the Auditor must be entered, including</t>
  </si>
  <si>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  List all District/Charter bank accounts and investments under “Account</t>
    </r>
  </si>
  <si>
    <t>end of the cash report.</t>
  </si>
  <si>
    <r>
      <t xml:space="preserve">line.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</si>
  <si>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temporary loans. The “Grand Total All Funds” column should net to zero on this</t>
  </si>
  <si>
    <r>
      <rPr>
        <u/>
        <sz val="11"/>
        <color theme="1"/>
        <rFont val="Calibri"/>
        <family val="2"/>
        <scheme val="minor"/>
      </rPr>
      <t>other funds</t>
    </r>
    <r>
      <rPr>
        <sz val="11"/>
        <color theme="1"/>
        <rFont val="Calibri"/>
        <family val="2"/>
        <scheme val="minor"/>
      </rPr>
      <t xml:space="preserve"> due to outstanding Request for Reimbursements and/or outstanding</t>
    </r>
  </si>
  <si>
    <r>
      <t xml:space="preserve">This is a negative adjustment in </t>
    </r>
    <r>
      <rPr>
        <b/>
        <u/>
        <sz val="11"/>
        <color theme="1"/>
        <rFont val="Calibri"/>
        <family val="2"/>
        <scheme val="minor"/>
      </rPr>
      <t>Operational ONLY</t>
    </r>
    <r>
      <rPr>
        <u/>
        <sz val="11"/>
        <color theme="1"/>
        <rFont val="Calibri"/>
        <family val="2"/>
        <scheme val="minor"/>
      </rPr>
      <t>, and positive adjustments in</t>
    </r>
  </si>
  <si>
    <t>reconcile to bank statement(s).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</si>
  <si>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7 through 9. This amount must</t>
    </r>
  </si>
  <si>
    <r>
      <t xml:space="preserve">received.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</si>
  <si>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This amount represents any other payables or receivables posted to the</t>
  </si>
  <si>
    <t>fiscal year in which the services were rendered.</t>
  </si>
  <si>
    <t>Please note: All payroll related expenditures must be recorded in the</t>
  </si>
  <si>
    <t>identify these amounts at the end of the cash report.</t>
  </si>
  <si>
    <r>
      <t xml:space="preserve">and reconciled to the bank accounts. </t>
    </r>
    <r>
      <rPr>
        <b/>
        <i/>
        <u/>
        <sz val="11"/>
        <color theme="1"/>
        <rFont val="Calibri"/>
        <family val="2"/>
        <scheme val="minor"/>
      </rPr>
      <t>Districts/Charters will be required to</t>
    </r>
  </si>
  <si>
    <t>calculated cash above in order to reconcile to cash reported in the general ledger</t>
  </si>
  <si>
    <t>of the current year personnel contracts. They must be added back to the</t>
  </si>
  <si>
    <t>checks and electronic fund transfers (EFT’s) for either benefits or the remainder</t>
  </si>
  <si>
    <t>This amount represents payroll expenditures not yet liquidated; for example, held</t>
  </si>
  <si>
    <t>balance for the ensuing year.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</si>
  <si>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4 through 6. This amount will be</t>
    </r>
  </si>
  <si>
    <r>
      <t xml:space="preserve">only. </t>
    </r>
    <r>
      <rPr>
        <b/>
        <i/>
        <u/>
        <sz val="11"/>
        <color theme="1"/>
        <rFont val="Calibri"/>
        <family val="2"/>
        <scheme val="minor"/>
      </rPr>
      <t>Districts/Charters will be required to identify these amounts at the</t>
    </r>
  </si>
  <si>
    <t>balance rather than due to/due from accounts for refunds of prior year revenue</t>
  </si>
  <si>
    <t>prior to making these transfers. These transfers will be adjustments to the fund</t>
  </si>
  <si>
    <t>to zero. PED authorization is required in addition to local board authorization,</t>
  </si>
  <si>
    <t>granting agencies. Therefore, the “Grand Total All Funds” column may not equal</t>
  </si>
  <si>
    <t>also include refunds of unobligated balances reverted back to PED or other</t>
  </si>
  <si>
    <t>Permanent cash transfers are not limited to transfers between funds. They may</t>
  </si>
  <si>
    <t>negative (-).</t>
  </si>
  <si>
    <r>
      <rPr>
        <b/>
        <i/>
        <u/>
        <sz val="11"/>
        <color theme="1"/>
        <rFont val="Calibri"/>
        <family val="2"/>
        <scheme val="minor"/>
      </rPr>
      <t>reconciled to the bank statements.</t>
    </r>
    <r>
      <rPr>
        <sz val="11"/>
        <color theme="1"/>
        <rFont val="Calibri"/>
        <family val="2"/>
        <scheme val="minor"/>
      </rPr>
      <t xml:space="preserve"> These amounts should be entered as a</t>
    </r>
  </si>
  <si>
    <r>
      <t xml:space="preserve">expenditures recorded in the General ledger, reported on OBMS, </t>
    </r>
    <r>
      <rPr>
        <b/>
        <i/>
        <u/>
        <sz val="11"/>
        <color theme="1"/>
        <rFont val="Calibri"/>
        <family val="2"/>
        <scheme val="minor"/>
      </rPr>
      <t>and</t>
    </r>
  </si>
  <si>
    <t>Management Systems Expenditure Report, which is a total of all year to date</t>
  </si>
  <si>
    <t>This amount should be the amount on the District’s/Charter’s Financial</t>
  </si>
  <si>
    <r>
      <t xml:space="preserve">This line is a </t>
    </r>
    <r>
      <rPr>
        <b/>
        <i/>
        <u/>
        <sz val="11"/>
        <color theme="1"/>
        <rFont val="Calibri"/>
        <family val="2"/>
        <scheme val="minor"/>
      </rPr>
      <t>calculated</t>
    </r>
    <r>
      <rPr>
        <sz val="11"/>
        <color theme="1"/>
        <rFont val="Calibri"/>
        <family val="2"/>
        <scheme val="minor"/>
      </rPr>
      <t xml:space="preserve"> subtotal of lines 1 through 3.</t>
    </r>
  </si>
  <si>
    <t>report.</t>
  </si>
  <si>
    <t>additional prior year voids and will always carry a positive (+) amount on this</t>
  </si>
  <si>
    <t>Any prior year checks voided in the current year require a credit entry to the fund</t>
  </si>
  <si>
    <t>included in the totals on line 5.</t>
  </si>
  <si>
    <t>current year refunds should be treated as a reduction in expenditures and</t>
  </si>
  <si>
    <r>
      <rPr>
        <b/>
        <i/>
        <u/>
        <sz val="11"/>
        <color theme="1"/>
        <rFont val="Calibri"/>
        <family val="2"/>
        <scheme val="minor"/>
      </rPr>
      <t>the bank statements.</t>
    </r>
    <r>
      <rPr>
        <sz val="11"/>
        <color theme="1"/>
        <rFont val="Calibri"/>
        <family val="2"/>
        <scheme val="minor"/>
      </rPr>
      <t xml:space="preserve"> These amounts should be entered as a positive (+). Any</t>
    </r>
  </si>
  <si>
    <r>
      <t xml:space="preserve">revenues recorded in the General ledger, reported on OBMS and </t>
    </r>
    <r>
      <rPr>
        <b/>
        <i/>
        <u/>
        <sz val="11"/>
        <color theme="1"/>
        <rFont val="Calibri"/>
        <family val="2"/>
        <scheme val="minor"/>
      </rPr>
      <t>reconciled to</t>
    </r>
  </si>
  <si>
    <t>Management Systems Revenue Report, which is a total of all year to date</t>
  </si>
  <si>
    <t>or Cash on Deposit, plus investments) presented in the audit.</t>
  </si>
  <si>
    <t>cash balance will be reconcilable to the Balance Sheet (Cash, Cash Equivalent,</t>
  </si>
  <si>
    <t>on the school’s financial system. When the audit has been completed, the total</t>
  </si>
  <si>
    <t>amount should agree to the total cash balance plus liabilities (summer payroll)</t>
  </si>
  <si>
    <t>Report. It represents the Total Cash Balance of the District/Charter. This</t>
  </si>
  <si>
    <t>The amount in this line will come from Line 7 of the previous Year’s Final Cash</t>
  </si>
  <si>
    <t>Government Finance Officers Association of the United States and Canada.</t>
  </si>
  <si>
    <t>Gauthier, S. J. (2012) Governmental Accounting, Auditing, and Financial Reporting. Chicago, IL:</t>
  </si>
  <si>
    <t>should describe the budgetary basis of accounting and explain how it differs from GAAP.”</t>
  </si>
  <si>
    <t>accounting. If the budgetary basis of accounting does, in fact, differ from GAAP, the SSAP</t>
  </si>
  <si>
    <t>the budget comparison statement are always presented using the budgetary basis of</t>
  </si>
  <si>
    <t>GAAP. Since the budgetary comparison focuses on the budget as legally adopted, amounts in</t>
  </si>
  <si>
    <t>“Budgetary Basis of Accounting- a government’s budget may be adopted on a basis other than</t>
  </si>
  <si>
    <t>Statements (PAGE 1 ONLY). PED may require additional information as needed.</t>
  </si>
  <si>
    <t>Please provide an electronic copy in pdf format of the District’s/Charter’s Bank</t>
  </si>
  <si>
    <t>Line 5- Current Year Expenditures to Date (Per OMBS Actuals Expenditure Report)</t>
  </si>
  <si>
    <r>
      <rPr>
        <b/>
        <sz val="11"/>
        <color theme="1"/>
        <rFont val="Calibri"/>
        <family val="2"/>
        <scheme val="minor"/>
      </rPr>
      <t xml:space="preserve">Column I   </t>
    </r>
    <r>
      <rPr>
        <sz val="11"/>
        <color theme="1"/>
        <rFont val="Calibri"/>
        <family val="2"/>
        <scheme val="minor"/>
      </rPr>
      <t>List any accounts that are not reported to PED, but reviewed by the</t>
    </r>
  </si>
  <si>
    <t>*** OTHER RECONCILING ITEMS - ADJUSTMENTS (LINE 9)</t>
  </si>
  <si>
    <t>**** TOTAL OUTSTANDING LOANS (LINE 11)</t>
  </si>
  <si>
    <t>Total</t>
  </si>
  <si>
    <t>(Per OMBS Actuals Expenditure Report)</t>
  </si>
  <si>
    <t>Permanent Cash Transfers/Reversions</t>
  </si>
  <si>
    <t>*Provide Explanation on Last Page</t>
  </si>
  <si>
    <t xml:space="preserve">Payroll Liabilities </t>
  </si>
  <si>
    <t>**Provide Explanation on Last Page</t>
  </si>
  <si>
    <t xml:space="preserve">Adjustments </t>
  </si>
  <si>
    <t>***Provide Explanation on Last Page</t>
  </si>
  <si>
    <t>****Provide Explanation on Last Page</t>
  </si>
  <si>
    <t>Current Year Revenue to Date</t>
  </si>
  <si>
    <t>Statement Balance</t>
  </si>
  <si>
    <t>Overnight Investments</t>
  </si>
  <si>
    <t>NOTE: Total Column H must equal total Column J</t>
  </si>
  <si>
    <t>GRAND TOTAL ALL</t>
  </si>
  <si>
    <t>Account Name / Type / Last 4 of Acct #</t>
  </si>
  <si>
    <r>
      <t xml:space="preserve">Please identify all reconciling adjustments per general ledger.  Enter the fund number on the FUND column. Please provide an explicit explanation </t>
    </r>
    <r>
      <rPr>
        <sz val="11"/>
        <color rgb="FFFF0000"/>
        <rFont val="Calibri"/>
        <family val="2"/>
        <scheme val="minor"/>
      </rPr>
      <t xml:space="preserve">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</si>
  <si>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r>
      <t xml:space="preserve">Please identify all outstanding loans per general ledger.  Enter fund number on the FROM FUND and TO FUND columns.  Please provide an explicit explanation </t>
    </r>
    <r>
      <rPr>
        <sz val="11"/>
        <color rgb="FFFF0000"/>
        <rFont val="Calibri"/>
        <family val="2"/>
        <scheme val="minor"/>
      </rPr>
      <t>(to start a new line of text press</t>
    </r>
    <r>
      <rPr>
        <b/>
        <sz val="11"/>
        <color rgb="FFFF0000"/>
        <rFont val="Calibri"/>
        <family val="2"/>
        <scheme val="minor"/>
      </rPr>
      <t xml:space="preserve"> 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</si>
  <si>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t/>
  </si>
  <si>
    <t>The purpose for providing the “Budgetary Basis of Accounting” definition is to provide guidance to</t>
  </si>
  <si>
    <t>better reflect available resources.</t>
  </si>
  <si>
    <t>balance account on the District’s/Charter’s records. This total will only change with</t>
  </si>
  <si>
    <t>carried forward from 4th quarter to 1st quarter and become the beginning cash</t>
  </si>
  <si>
    <t>District’s/Charter’s Financial Management System. Expenditures that have not</t>
  </si>
  <si>
    <t>yet been liquidated by issuing checks or revenue that has not yet been</t>
  </si>
  <si>
    <t>IMPACT AID OPERATIONAL</t>
  </si>
  <si>
    <t xml:space="preserve">LOCAL REVENUE OPERATIONAL </t>
  </si>
  <si>
    <t>TEACHERAGE BOND BUILDING</t>
  </si>
  <si>
    <t>School Name:</t>
  </si>
  <si>
    <t>M1</t>
  </si>
  <si>
    <t>Previous Year End:</t>
  </si>
  <si>
    <t>M2</t>
  </si>
  <si>
    <t>M3/Q1</t>
  </si>
  <si>
    <t>M4</t>
  </si>
  <si>
    <t>M5</t>
  </si>
  <si>
    <t>M6/Q2</t>
  </si>
  <si>
    <t>M7</t>
  </si>
  <si>
    <t>M8</t>
  </si>
  <si>
    <t>M9/Q3</t>
  </si>
  <si>
    <t>M10</t>
  </si>
  <si>
    <t>M11</t>
  </si>
  <si>
    <t>M12/Q4</t>
  </si>
  <si>
    <r>
      <t xml:space="preserve">Please identify all reconciling payroll liabilities per general ledger. Enter the fund number on the FUND column. Please provide an explicit explanation </t>
    </r>
    <r>
      <rPr>
        <sz val="11"/>
        <color rgb="FFFF0000"/>
        <rFont val="Calibri"/>
        <family val="2"/>
        <scheme val="minor"/>
      </rPr>
      <t xml:space="preserve">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</si>
  <si>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r>
      <t xml:space="preserve">Please identify all cash transfers and reversions per general ledger.  Enter the fund number on the FROM FUND and TO FUND columns.   Please provide an explicit explanation </t>
    </r>
    <r>
      <rPr>
        <sz val="11"/>
        <color rgb="FFFF0000"/>
        <rFont val="Calibri"/>
        <family val="2"/>
        <scheme val="minor"/>
      </rPr>
      <t xml:space="preserve">(to start a new line of text press </t>
    </r>
    <r>
      <rPr>
        <b/>
        <sz val="11"/>
        <color rgb="FFFF0000"/>
        <rFont val="Calibri"/>
        <family val="2"/>
        <scheme val="minor"/>
      </rPr>
      <t>Alt+Enter</t>
    </r>
    <r>
      <rPr>
        <sz val="11"/>
        <color rgb="FFFF0000"/>
        <rFont val="Calibri"/>
        <family val="2"/>
        <scheme val="minor"/>
      </rPr>
      <t xml:space="preserve"> to insert a line break).</t>
    </r>
  </si>
  <si>
    <t>Naming Convention:</t>
  </si>
  <si>
    <t>District/Charter</t>
  </si>
  <si>
    <t>ENTITY STARS CODE</t>
  </si>
  <si>
    <t>D/LC/SC
(District,
Local Charter,
State Charter)</t>
  </si>
  <si>
    <t>County / Counties</t>
  </si>
  <si>
    <t>Abreviation</t>
  </si>
  <si>
    <t>Sort_Number</t>
  </si>
  <si>
    <t>Sort_Alpha</t>
  </si>
  <si>
    <t>Search</t>
  </si>
  <si>
    <t>Frequency</t>
  </si>
  <si>
    <t>Final List</t>
  </si>
  <si>
    <t>ALAMOGORDO</t>
  </si>
  <si>
    <t>046-000</t>
  </si>
  <si>
    <t>Otero</t>
  </si>
  <si>
    <t>Alamogordo</t>
  </si>
  <si>
    <t>ALBUQUERQUE</t>
  </si>
  <si>
    <t>001-000</t>
  </si>
  <si>
    <t>Bernalillo/Sandoval</t>
  </si>
  <si>
    <t>ABQ-APS</t>
  </si>
  <si>
    <t>ACADEMY FOR TECH &amp; CLASSICS</t>
  </si>
  <si>
    <t>071-024</t>
  </si>
  <si>
    <t>LC</t>
  </si>
  <si>
    <t>Santa Fe</t>
  </si>
  <si>
    <t>ATC</t>
  </si>
  <si>
    <t>ACE LEADERSHIP</t>
  </si>
  <si>
    <t>001-749</t>
  </si>
  <si>
    <t>ACE</t>
  </si>
  <si>
    <t>ACES TECHNICAL CHARTER SCHOOL</t>
  </si>
  <si>
    <t>579-001</t>
  </si>
  <si>
    <t>SC</t>
  </si>
  <si>
    <t>Bernalillo</t>
  </si>
  <si>
    <t>ACES Tech</t>
  </si>
  <si>
    <t>AIMS @ UNM</t>
  </si>
  <si>
    <t>524-001</t>
  </si>
  <si>
    <t>AIMS</t>
  </si>
  <si>
    <t>ALBUQUERQUE BILINGUAL ACADEMY</t>
  </si>
  <si>
    <t>528-001</t>
  </si>
  <si>
    <t>ABQ Bilingual</t>
  </si>
  <si>
    <t>ALBUQUERQUE CHARTER ACADEMY</t>
  </si>
  <si>
    <t>001-090</t>
  </si>
  <si>
    <t>ABQ Charter Acad.</t>
  </si>
  <si>
    <t>ALBUQUERQUE COLLEGIATE</t>
  </si>
  <si>
    <t>574-001</t>
  </si>
  <si>
    <t>ABQ Collegiate</t>
  </si>
  <si>
    <t>ALBUQUERQUE SCHOOL OF EXCELLENCE</t>
  </si>
  <si>
    <t>516-001</t>
  </si>
  <si>
    <t>ABQ School Excell.</t>
  </si>
  <si>
    <t>ALBUQUERQUE SIGN LANGUAGE</t>
  </si>
  <si>
    <t>517-001</t>
  </si>
  <si>
    <t>ABQ Sign Lang.</t>
  </si>
  <si>
    <t>ALDO LEOPOLD ST. CHARTER</t>
  </si>
  <si>
    <t>532-001</t>
  </si>
  <si>
    <t>Grant</t>
  </si>
  <si>
    <t>Aldo Leopold</t>
  </si>
  <si>
    <t>ALICE KING COMMUNITY SCHOOL</t>
  </si>
  <si>
    <t>001-116</t>
  </si>
  <si>
    <t>Alice King</t>
  </si>
  <si>
    <t>ALMA D' ARTE STATE CHARTER</t>
  </si>
  <si>
    <t>511-001</t>
  </si>
  <si>
    <t>Dona Ana</t>
  </si>
  <si>
    <t>Alma d'Arte</t>
  </si>
  <si>
    <t>ALTURA PREPARATORY SCHOOL</t>
  </si>
  <si>
    <t>575-001</t>
  </si>
  <si>
    <t>Altura Prep</t>
  </si>
  <si>
    <t>AMY BIEHL ST. CHARTER</t>
  </si>
  <si>
    <t>525-001</t>
  </si>
  <si>
    <t>Amy Biehl</t>
  </si>
  <si>
    <t>ANANSI CHARTER</t>
  </si>
  <si>
    <t>076-006</t>
  </si>
  <si>
    <t>Taos</t>
  </si>
  <si>
    <t>Anansi</t>
  </si>
  <si>
    <t>ASK ACADEMY ST. CHARTER</t>
  </si>
  <si>
    <t>520-001</t>
  </si>
  <si>
    <t>Sandoval</t>
  </si>
  <si>
    <t>ASK</t>
  </si>
  <si>
    <t>CESAR CHAVEZ COMM. ST. CHARTER</t>
  </si>
  <si>
    <t>512-001</t>
  </si>
  <si>
    <t>Cesar Chavez</t>
  </si>
  <si>
    <t>CHRISTINE DUNCAN COMMUNITY</t>
  </si>
  <si>
    <t>001-118</t>
  </si>
  <si>
    <t>Christine Duncan</t>
  </si>
  <si>
    <t>CIEN AGUAS INTERNATIONAL</t>
  </si>
  <si>
    <t>001-780</t>
  </si>
  <si>
    <t>CAIS</t>
  </si>
  <si>
    <t>CORAL COMMUNITY</t>
  </si>
  <si>
    <t>001-706</t>
  </si>
  <si>
    <t>CCCS</t>
  </si>
  <si>
    <t>CORRALES INTERNATIONAL</t>
  </si>
  <si>
    <t>001-028</t>
  </si>
  <si>
    <t>CIS</t>
  </si>
  <si>
    <t>COTTONWOOD CLASSICAL ST. CHARTER</t>
  </si>
  <si>
    <t>001-769</t>
  </si>
  <si>
    <t>Cottonwood Classical</t>
  </si>
  <si>
    <t>COTTONWOOD VALLEY CHARTER</t>
  </si>
  <si>
    <t>074-003</t>
  </si>
  <si>
    <t>Socorro</t>
  </si>
  <si>
    <t>Cottonwood Valley</t>
  </si>
  <si>
    <t>DEAP</t>
  </si>
  <si>
    <t>562-001</t>
  </si>
  <si>
    <t>Mckinley</t>
  </si>
  <si>
    <t>DEMING CESAR CHAVEZ</t>
  </si>
  <si>
    <t>042-006</t>
  </si>
  <si>
    <t>Luna</t>
  </si>
  <si>
    <t>DCCCHS</t>
  </si>
  <si>
    <t>DIGITAL ARTS &amp; TECH ACADEMY</t>
  </si>
  <si>
    <t>001-063</t>
  </si>
  <si>
    <t>DATA</t>
  </si>
  <si>
    <t>DREAM DINE'</t>
  </si>
  <si>
    <t>067-109</t>
  </si>
  <si>
    <t>San Juan</t>
  </si>
  <si>
    <t>Dream Dine</t>
  </si>
  <si>
    <t>EAST MOUNTAIN</t>
  </si>
  <si>
    <t>001-024</t>
  </si>
  <si>
    <t>East Mountain</t>
  </si>
  <si>
    <t>EL CAMINO REAL</t>
  </si>
  <si>
    <t>001-069</t>
  </si>
  <si>
    <t>El Camino Real</t>
  </si>
  <si>
    <t>ESTANCIA VALLEY</t>
  </si>
  <si>
    <t>550-001</t>
  </si>
  <si>
    <t>Torrance</t>
  </si>
  <si>
    <t>Estancia Valley</t>
  </si>
  <si>
    <t>EXPLORE ACADEMY</t>
  </si>
  <si>
    <t>557-001</t>
  </si>
  <si>
    <t>Explore Acad.</t>
  </si>
  <si>
    <t>ANIMAS</t>
  </si>
  <si>
    <t>030-000</t>
  </si>
  <si>
    <t>Hidalgo</t>
  </si>
  <si>
    <t>Animas</t>
  </si>
  <si>
    <t>ARTESIA</t>
  </si>
  <si>
    <t>022-000</t>
  </si>
  <si>
    <t>Eddy/Chaves</t>
  </si>
  <si>
    <t>Artesia</t>
  </si>
  <si>
    <t>AZTEC</t>
  </si>
  <si>
    <t>064-000</t>
  </si>
  <si>
    <t>Aztec</t>
  </si>
  <si>
    <t>EXPLORE ACADEMY - LAS CRUCES</t>
  </si>
  <si>
    <t>581-001</t>
  </si>
  <si>
    <t>Explore Acad.-LC</t>
  </si>
  <si>
    <t>BELEN</t>
  </si>
  <si>
    <t>087-000</t>
  </si>
  <si>
    <t>Valencia/Socorro</t>
  </si>
  <si>
    <t>Belen</t>
  </si>
  <si>
    <t>BERNALILLO</t>
  </si>
  <si>
    <t>061-000</t>
  </si>
  <si>
    <t>BLOOMFIELD</t>
  </si>
  <si>
    <t>066-000</t>
  </si>
  <si>
    <t>Bloomfield</t>
  </si>
  <si>
    <t>CAPITAN</t>
  </si>
  <si>
    <t>040-000</t>
  </si>
  <si>
    <t>Lincoln</t>
  </si>
  <si>
    <t>Capitan</t>
  </si>
  <si>
    <t>CARLSBAD</t>
  </si>
  <si>
    <t>020-000</t>
  </si>
  <si>
    <t>Eddy</t>
  </si>
  <si>
    <t>Carlsbad</t>
  </si>
  <si>
    <t>GILBERT L. SENA CHARTER</t>
  </si>
  <si>
    <t>001-707</t>
  </si>
  <si>
    <t>Gilbert Sena</t>
  </si>
  <si>
    <t>GORDON BERNELL</t>
  </si>
  <si>
    <t>001-030</t>
  </si>
  <si>
    <t>Gordon Bernell</t>
  </si>
  <si>
    <t>CARRIZOZO</t>
  </si>
  <si>
    <t>037-000</t>
  </si>
  <si>
    <t>Lincoln/Socorro</t>
  </si>
  <si>
    <t>Carrizozo</t>
  </si>
  <si>
    <t>CENTRAL CONS.</t>
  </si>
  <si>
    <t>067-000</t>
  </si>
  <si>
    <t>Central</t>
  </si>
  <si>
    <t>HEALTH LEADERSHIP CHARTER</t>
  </si>
  <si>
    <t>001-752</t>
  </si>
  <si>
    <t>Health Ldrshp.</t>
  </si>
  <si>
    <t>CHAMA VALLEY</t>
  </si>
  <si>
    <t>053-000</t>
  </si>
  <si>
    <t>Rio Arriba</t>
  </si>
  <si>
    <t>Chama</t>
  </si>
  <si>
    <t>CIMARRON</t>
  </si>
  <si>
    <t>008-000</t>
  </si>
  <si>
    <t>Colfax</t>
  </si>
  <si>
    <t>Cimarron</t>
  </si>
  <si>
    <t>HORIZON ACADEMY WEST ST. CHARTER</t>
  </si>
  <si>
    <t>503-001</t>
  </si>
  <si>
    <t>HAS</t>
  </si>
  <si>
    <t>CLAYTON</t>
  </si>
  <si>
    <t>084-000</t>
  </si>
  <si>
    <t>Union</t>
  </si>
  <si>
    <t>Clayton</t>
  </si>
  <si>
    <t>CLOUDCROFT</t>
  </si>
  <si>
    <t>048-000</t>
  </si>
  <si>
    <t>Cloudcroft</t>
  </si>
  <si>
    <t>CLOVIS</t>
  </si>
  <si>
    <t>012-000</t>
  </si>
  <si>
    <t>Curry</t>
  </si>
  <si>
    <t>Clovis</t>
  </si>
  <si>
    <t>COBRE CONS.</t>
  </si>
  <si>
    <t>024-000</t>
  </si>
  <si>
    <t>Cobre</t>
  </si>
  <si>
    <t>CORONA</t>
  </si>
  <si>
    <t>038-000</t>
  </si>
  <si>
    <t>Lincoln/Socorro/Torrance</t>
  </si>
  <si>
    <t>Corona</t>
  </si>
  <si>
    <t>CUBA</t>
  </si>
  <si>
    <t>062-000</t>
  </si>
  <si>
    <t>Cuba</t>
  </si>
  <si>
    <t>DEMING</t>
  </si>
  <si>
    <t>042-000</t>
  </si>
  <si>
    <t>Deming</t>
  </si>
  <si>
    <t>HOZHO ACADEMY</t>
  </si>
  <si>
    <t>573-001</t>
  </si>
  <si>
    <t>Hozho</t>
  </si>
  <si>
    <t>DES MOINES</t>
  </si>
  <si>
    <t>085-000</t>
  </si>
  <si>
    <t>Union/Colfax</t>
  </si>
  <si>
    <t>Des Moines</t>
  </si>
  <si>
    <t>DEXTER</t>
  </si>
  <si>
    <t>006-000</t>
  </si>
  <si>
    <t>Chaves</t>
  </si>
  <si>
    <t>Dexter</t>
  </si>
  <si>
    <t>DORA</t>
  </si>
  <si>
    <t>060-000</t>
  </si>
  <si>
    <t>Roosevelt</t>
  </si>
  <si>
    <t>Dora</t>
  </si>
  <si>
    <t>DULCE</t>
  </si>
  <si>
    <t>054-000</t>
  </si>
  <si>
    <t>Dulce</t>
  </si>
  <si>
    <t>ELIDA</t>
  </si>
  <si>
    <t>058-000</t>
  </si>
  <si>
    <t>Roosevelt/Chaves</t>
  </si>
  <si>
    <t>Elida</t>
  </si>
  <si>
    <t>ESPAÑOLA</t>
  </si>
  <si>
    <t>055-000</t>
  </si>
  <si>
    <t>Rio Arriba/Santa Fe</t>
  </si>
  <si>
    <t>Espanola</t>
  </si>
  <si>
    <t>ESTANCIA</t>
  </si>
  <si>
    <t>080-000</t>
  </si>
  <si>
    <t>Estancia</t>
  </si>
  <si>
    <t>EUNICE</t>
  </si>
  <si>
    <t>032-000</t>
  </si>
  <si>
    <t>Lea</t>
  </si>
  <si>
    <t>Eunice</t>
  </si>
  <si>
    <t>FARMINGTON</t>
  </si>
  <si>
    <t>065-000</t>
  </si>
  <si>
    <t>Farmington</t>
  </si>
  <si>
    <t>FLOYD</t>
  </si>
  <si>
    <t>059-000</t>
  </si>
  <si>
    <t>Floyd</t>
  </si>
  <si>
    <t>FT. SUMNER</t>
  </si>
  <si>
    <t>016-000</t>
  </si>
  <si>
    <t>De Baca</t>
  </si>
  <si>
    <t>Ft. Sumner</t>
  </si>
  <si>
    <t>GADSDEN</t>
  </si>
  <si>
    <t>019-000</t>
  </si>
  <si>
    <t>Dona Ana/Otero/Anthony</t>
  </si>
  <si>
    <t>Gadsden</t>
  </si>
  <si>
    <t>GALLUP</t>
  </si>
  <si>
    <t>043-000</t>
  </si>
  <si>
    <t>McKinley</t>
  </si>
  <si>
    <t>Gallup</t>
  </si>
  <si>
    <t>GRADY</t>
  </si>
  <si>
    <t>015-000</t>
  </si>
  <si>
    <t>Curry/Quay</t>
  </si>
  <si>
    <t>Grady</t>
  </si>
  <si>
    <t>GRANTS</t>
  </si>
  <si>
    <t>088-000</t>
  </si>
  <si>
    <t>Cibola</t>
  </si>
  <si>
    <t>Grants</t>
  </si>
  <si>
    <t>HAGERMAN</t>
  </si>
  <si>
    <t>005-000</t>
  </si>
  <si>
    <t>Hagerman</t>
  </si>
  <si>
    <t>HATCH</t>
  </si>
  <si>
    <t>018-000</t>
  </si>
  <si>
    <t>Hatch</t>
  </si>
  <si>
    <t>HOBBS</t>
  </si>
  <si>
    <t>033-000</t>
  </si>
  <si>
    <t>Hobbs</t>
  </si>
  <si>
    <t>HONDO</t>
  </si>
  <si>
    <t>039-000</t>
  </si>
  <si>
    <t>Hondo</t>
  </si>
  <si>
    <t>HOUSE</t>
  </si>
  <si>
    <t>050-000</t>
  </si>
  <si>
    <t>Quay/Roosevelt</t>
  </si>
  <si>
    <t>House</t>
  </si>
  <si>
    <t>JAL</t>
  </si>
  <si>
    <t>034-000</t>
  </si>
  <si>
    <t>Jal</t>
  </si>
  <si>
    <t>JEMEZ MOUNTAIN</t>
  </si>
  <si>
    <t>056-000</t>
  </si>
  <si>
    <t>Jemez Mtn.</t>
  </si>
  <si>
    <t>JEMEZ VALLEY</t>
  </si>
  <si>
    <t>063-000</t>
  </si>
  <si>
    <t>Jemez Valley</t>
  </si>
  <si>
    <t>INT'L SCHOOL MESA DEL SOL ST. CHARTER</t>
  </si>
  <si>
    <t>001-781</t>
  </si>
  <si>
    <t>ISMDS</t>
  </si>
  <si>
    <t>LAKE ARTHUR</t>
  </si>
  <si>
    <t>007-000</t>
  </si>
  <si>
    <t>Lake Arthur</t>
  </si>
  <si>
    <t>LAS CRUCES</t>
  </si>
  <si>
    <t>017-000</t>
  </si>
  <si>
    <t>Don Ana</t>
  </si>
  <si>
    <t>Las Cruces</t>
  </si>
  <si>
    <t>LAS VEGAS CITY</t>
  </si>
  <si>
    <t>069-000</t>
  </si>
  <si>
    <t>San Miguel/Mora</t>
  </si>
  <si>
    <t>Las Vegas</t>
  </si>
  <si>
    <t>LOGAN</t>
  </si>
  <si>
    <t>051-000</t>
  </si>
  <si>
    <t>Quay/Harding</t>
  </si>
  <si>
    <t>Logan</t>
  </si>
  <si>
    <t>LORDSBURG</t>
  </si>
  <si>
    <t>029-000</t>
  </si>
  <si>
    <t>Lordsburg</t>
  </si>
  <si>
    <t>LOS ALAMOS</t>
  </si>
  <si>
    <t>041-000</t>
  </si>
  <si>
    <t>Los Alamos</t>
  </si>
  <si>
    <t>LOS LUNAS</t>
  </si>
  <si>
    <t>086-000</t>
  </si>
  <si>
    <t>Valencia</t>
  </si>
  <si>
    <t>Los Lunas</t>
  </si>
  <si>
    <t>LOVING</t>
  </si>
  <si>
    <t>021-000</t>
  </si>
  <si>
    <t>Loving</t>
  </si>
  <si>
    <t>LOVINGTON</t>
  </si>
  <si>
    <t>031-000</t>
  </si>
  <si>
    <t>Lovington</t>
  </si>
  <si>
    <t>MAGDALENA</t>
  </si>
  <si>
    <t>075-000</t>
  </si>
  <si>
    <t>Magdalena</t>
  </si>
  <si>
    <t>MAXWELL</t>
  </si>
  <si>
    <t>011-000</t>
  </si>
  <si>
    <t>Maxwell</t>
  </si>
  <si>
    <t>MELROSE</t>
  </si>
  <si>
    <t>014-000</t>
  </si>
  <si>
    <t>Curry/Roosevelt/Quay</t>
  </si>
  <si>
    <t>Melrose</t>
  </si>
  <si>
    <t>MESA VISTA</t>
  </si>
  <si>
    <t>078-000</t>
  </si>
  <si>
    <t>Taos/Rio Arriba</t>
  </si>
  <si>
    <t>Mesa Vista</t>
  </si>
  <si>
    <t>MORA</t>
  </si>
  <si>
    <t>044-000</t>
  </si>
  <si>
    <t>Mora</t>
  </si>
  <si>
    <t>MORIARTY</t>
  </si>
  <si>
    <t>081-000</t>
  </si>
  <si>
    <t>Torrance/Bernalillo/Santa Fe</t>
  </si>
  <si>
    <t>Moriarty</t>
  </si>
  <si>
    <t>MOSQUERO</t>
  </si>
  <si>
    <t>028-000</t>
  </si>
  <si>
    <t>Harding</t>
  </si>
  <si>
    <t>Mosquero</t>
  </si>
  <si>
    <t>MOUNTAINAIR</t>
  </si>
  <si>
    <t>082-000</t>
  </si>
  <si>
    <t>Torrance/Socorro</t>
  </si>
  <si>
    <t>Mountainair</t>
  </si>
  <si>
    <t>PECOS</t>
  </si>
  <si>
    <t>070-000</t>
  </si>
  <si>
    <t>San Miguel</t>
  </si>
  <si>
    <t>Pecos</t>
  </si>
  <si>
    <t>PEÑASCO</t>
  </si>
  <si>
    <t>077-000</t>
  </si>
  <si>
    <t>Penasco</t>
  </si>
  <si>
    <t>POJOAQUE</t>
  </si>
  <si>
    <t>072-000</t>
  </si>
  <si>
    <t>Pojoaque</t>
  </si>
  <si>
    <t>PORTALES</t>
  </si>
  <si>
    <t>057-000</t>
  </si>
  <si>
    <t>Portales</t>
  </si>
  <si>
    <t>QUEMADO</t>
  </si>
  <si>
    <t>003-000</t>
  </si>
  <si>
    <t>Catron/Cibola</t>
  </si>
  <si>
    <t>Quemado</t>
  </si>
  <si>
    <t>QUESTA</t>
  </si>
  <si>
    <t>079-000</t>
  </si>
  <si>
    <t>Questa</t>
  </si>
  <si>
    <t>RATON</t>
  </si>
  <si>
    <t>009-000</t>
  </si>
  <si>
    <t>Raton</t>
  </si>
  <si>
    <t>RESERVE</t>
  </si>
  <si>
    <t>002-000</t>
  </si>
  <si>
    <t>Catron</t>
  </si>
  <si>
    <t>Reserve</t>
  </si>
  <si>
    <t>RIO RANCHO</t>
  </si>
  <si>
    <t>083-000</t>
  </si>
  <si>
    <t>Rio Rancho</t>
  </si>
  <si>
    <t>ROSWELL</t>
  </si>
  <si>
    <t>004-000</t>
  </si>
  <si>
    <t>Roswell</t>
  </si>
  <si>
    <t>J. PAUL TAYLOR ACADEMY</t>
  </si>
  <si>
    <t>535-001</t>
  </si>
  <si>
    <t>J Paul</t>
  </si>
  <si>
    <t>ROY</t>
  </si>
  <si>
    <t>027-000</t>
  </si>
  <si>
    <t>Roy</t>
  </si>
  <si>
    <t>RUIDOSO</t>
  </si>
  <si>
    <t>036-000</t>
  </si>
  <si>
    <t>Ruidoso</t>
  </si>
  <si>
    <t>SAN JON</t>
  </si>
  <si>
    <t>052-000</t>
  </si>
  <si>
    <t>Quay</t>
  </si>
  <si>
    <t>San Jon</t>
  </si>
  <si>
    <t>SANTA FE</t>
  </si>
  <si>
    <t>071-000</t>
  </si>
  <si>
    <t>JEFFERSON MONT. ACAD.</t>
  </si>
  <si>
    <t>020-001</t>
  </si>
  <si>
    <t>JMA</t>
  </si>
  <si>
    <t>SANTA ROSA</t>
  </si>
  <si>
    <t>025-000</t>
  </si>
  <si>
    <t>Guadalupe/San Miguel</t>
  </si>
  <si>
    <t>Santa Rosa</t>
  </si>
  <si>
    <t>SILVER CITY CONS.</t>
  </si>
  <si>
    <t>023-000</t>
  </si>
  <si>
    <t>Silver City Cons.</t>
  </si>
  <si>
    <t>SOCORRO</t>
  </si>
  <si>
    <t>074-000</t>
  </si>
  <si>
    <t>LA ACADEMIA DE ESPERANZA</t>
  </si>
  <si>
    <t>001-061</t>
  </si>
  <si>
    <t>LADE</t>
  </si>
  <si>
    <t>SPRINGER</t>
  </si>
  <si>
    <t>010-000</t>
  </si>
  <si>
    <t>Colfax/Union</t>
  </si>
  <si>
    <t>Springer</t>
  </si>
  <si>
    <t>TAOS</t>
  </si>
  <si>
    <t>076-000</t>
  </si>
  <si>
    <t>LA ACADEMIA DOLORES HUERTA</t>
  </si>
  <si>
    <t>560-001</t>
  </si>
  <si>
    <t>LADH</t>
  </si>
  <si>
    <t>LA TIERRA MONTESSORI</t>
  </si>
  <si>
    <t>546-001</t>
  </si>
  <si>
    <t>LTM</t>
  </si>
  <si>
    <t>LAS MONTANAS</t>
  </si>
  <si>
    <t>567-001</t>
  </si>
  <si>
    <t>Las Montanas</t>
  </si>
  <si>
    <t>TATUM</t>
  </si>
  <si>
    <t>035-000</t>
  </si>
  <si>
    <t>Lea/Chaves</t>
  </si>
  <si>
    <t>Tatum</t>
  </si>
  <si>
    <t>TEXICO</t>
  </si>
  <si>
    <t>013-000</t>
  </si>
  <si>
    <t>Curry/Roosevelt</t>
  </si>
  <si>
    <t>Texico</t>
  </si>
  <si>
    <t>TRUTH OR CONSEQ.</t>
  </si>
  <si>
    <t>073-000</t>
  </si>
  <si>
    <t>Sierra</t>
  </si>
  <si>
    <t>T or C</t>
  </si>
  <si>
    <t>TUCUMCARI</t>
  </si>
  <si>
    <t>049-000</t>
  </si>
  <si>
    <t>Tucumcari</t>
  </si>
  <si>
    <t>TULAROSA</t>
  </si>
  <si>
    <t>047-000</t>
  </si>
  <si>
    <t>Tularosa</t>
  </si>
  <si>
    <t>VAUGHN</t>
  </si>
  <si>
    <t>026-000</t>
  </si>
  <si>
    <t>Guadalupe/Torrance</t>
  </si>
  <si>
    <t>Vaughn</t>
  </si>
  <si>
    <t>WAGON MOUND</t>
  </si>
  <si>
    <t>045-000</t>
  </si>
  <si>
    <t>Wagon Mound</t>
  </si>
  <si>
    <t>WEST LAS VEGAS</t>
  </si>
  <si>
    <t>068-000</t>
  </si>
  <si>
    <t>W Las Vegas</t>
  </si>
  <si>
    <t>LOS PUENTES</t>
  </si>
  <si>
    <t>001-017</t>
  </si>
  <si>
    <t>Los Puentes</t>
  </si>
  <si>
    <t>ZUNI</t>
  </si>
  <si>
    <t>089-000</t>
  </si>
  <si>
    <t>Zuni</t>
  </si>
  <si>
    <t>MARK ARMIJO (NUESTROS VALORES)</t>
  </si>
  <si>
    <t>001-039</t>
  </si>
  <si>
    <t>Mark Armijo</t>
  </si>
  <si>
    <t>MASTERS PROGRAM ST. CHARTER</t>
  </si>
  <si>
    <t>519-001</t>
  </si>
  <si>
    <t>MASTERS</t>
  </si>
  <si>
    <t>MCCURDY CHARTER SCHOOL</t>
  </si>
  <si>
    <t>547-001</t>
  </si>
  <si>
    <t>McCurdy</t>
  </si>
  <si>
    <t>MEDIA ARTS COLLAB. ST. CHARTER</t>
  </si>
  <si>
    <t>501-001</t>
  </si>
  <si>
    <t>Media Arts</t>
  </si>
  <si>
    <t>MIDDLE COLLEGE HIGH</t>
  </si>
  <si>
    <t>578-001</t>
  </si>
  <si>
    <t>Middle College</t>
  </si>
  <si>
    <t>MISSION ACHIEVEMENT &amp; SUCCESS-MAS</t>
  </si>
  <si>
    <t>542-001</t>
  </si>
  <si>
    <t>MAS</t>
  </si>
  <si>
    <t>MONTE DEL SOL</t>
  </si>
  <si>
    <t>564-001</t>
  </si>
  <si>
    <t>Monte Del Sol</t>
  </si>
  <si>
    <t>MONTESSORI ELEMEMTARY ST. CHARTER</t>
  </si>
  <si>
    <t>529-001</t>
  </si>
  <si>
    <t>Montessori Elem.</t>
  </si>
  <si>
    <t>MONTESSORI OF THE RIO GRANDE</t>
  </si>
  <si>
    <t>001-095</t>
  </si>
  <si>
    <t>Montessori RG</t>
  </si>
  <si>
    <t>MORENO VALLEY HIGH</t>
  </si>
  <si>
    <t>008-003</t>
  </si>
  <si>
    <t>Moreno Valley</t>
  </si>
  <si>
    <t>MOSAIC ACADEMY CHARTER</t>
  </si>
  <si>
    <t>064-001</t>
  </si>
  <si>
    <t>Mosaic</t>
  </si>
  <si>
    <t>MOUNTAIN MAHOGANY</t>
  </si>
  <si>
    <t>001-098</t>
  </si>
  <si>
    <t>Mtn. Mahogany</t>
  </si>
  <si>
    <t>NATIVE AMERICAN COMM ACAD.</t>
  </si>
  <si>
    <t>001-006</t>
  </si>
  <si>
    <t>NACA</t>
  </si>
  <si>
    <t>NEW AMERICA CHARTER SCHOOL</t>
  </si>
  <si>
    <t>001-708</t>
  </si>
  <si>
    <t>New Amer.</t>
  </si>
  <si>
    <t>NEW AMERICA SCHOOL - LAS CRUCES</t>
  </si>
  <si>
    <t>549-001</t>
  </si>
  <si>
    <t>New Amer.-LC</t>
  </si>
  <si>
    <t>NEW MEXICO CONNECTIONS ACADEMY</t>
  </si>
  <si>
    <t>554-001</t>
  </si>
  <si>
    <t>NM Connections</t>
  </si>
  <si>
    <t>NEW MEXICO INTERNATIONAL</t>
  </si>
  <si>
    <t>001-768</t>
  </si>
  <si>
    <t>NMIS</t>
  </si>
  <si>
    <t>NEW MEXICO SCHOOL FOR THE ARTS ST. CH</t>
  </si>
  <si>
    <t>509-001</t>
  </si>
  <si>
    <t>NMSA</t>
  </si>
  <si>
    <t>NORTH VALLEY ACADEMY ST. CHARTER</t>
  </si>
  <si>
    <t>504-001</t>
  </si>
  <si>
    <t>North Valley</t>
  </si>
  <si>
    <t>PAPA</t>
  </si>
  <si>
    <t>001-047</t>
  </si>
  <si>
    <t>PECOS CONNECTIONS</t>
  </si>
  <si>
    <t>584-001</t>
  </si>
  <si>
    <t>PCA</t>
  </si>
  <si>
    <t>RAICES DEL SABER XINACHTLI</t>
  </si>
  <si>
    <t>577-001</t>
  </si>
  <si>
    <t>Raices</t>
  </si>
  <si>
    <t>RED RIVER VALLEY</t>
  </si>
  <si>
    <t>539-001</t>
  </si>
  <si>
    <t>RRVCS</t>
  </si>
  <si>
    <t>RIO GALLINAS CHARTER SCHOOL</t>
  </si>
  <si>
    <t>068-004</t>
  </si>
  <si>
    <t>Rio Gallinas</t>
  </si>
  <si>
    <t>RIO GRANDE ACADEMY OF FINE ARTS</t>
  </si>
  <si>
    <t>583-001</t>
  </si>
  <si>
    <t>RioGAFA</t>
  </si>
  <si>
    <t>ROBERT F. KENNEDY</t>
  </si>
  <si>
    <t>001-051</t>
  </si>
  <si>
    <t>RFK</t>
  </si>
  <si>
    <t>ROOTS &amp; WINGS</t>
  </si>
  <si>
    <t>570-001</t>
  </si>
  <si>
    <t>Roots and Wings</t>
  </si>
  <si>
    <t>SAN DIEGO RIVERSIDE CHARTER</t>
  </si>
  <si>
    <t>063-004</t>
  </si>
  <si>
    <t>SDRC</t>
  </si>
  <si>
    <t>SANDOVAL ACADEMY OF BIL ED SABE</t>
  </si>
  <si>
    <t>563-001</t>
  </si>
  <si>
    <t>SABE</t>
  </si>
  <si>
    <t>SCHOOL OF DREAMS ST. CHARTER</t>
  </si>
  <si>
    <t>505-001</t>
  </si>
  <si>
    <t>SODA</t>
  </si>
  <si>
    <t>SIDNEY GUTIERREZ</t>
  </si>
  <si>
    <t>004-009</t>
  </si>
  <si>
    <t>Sidney Gutierrez</t>
  </si>
  <si>
    <t>SIEMBRA LEADERSHIP HIGH SCHOOL</t>
  </si>
  <si>
    <t>001-750</t>
  </si>
  <si>
    <t>Siembra</t>
  </si>
  <si>
    <t>SIX DIRECTIONS</t>
  </si>
  <si>
    <t>568-001</t>
  </si>
  <si>
    <t>Six Directions</t>
  </si>
  <si>
    <t>SOLARE COLLEGIATE</t>
  </si>
  <si>
    <t>576-001</t>
  </si>
  <si>
    <t>Solare Collegiate</t>
  </si>
  <si>
    <t>SOUTH VALLEY</t>
  </si>
  <si>
    <t>001-025</t>
  </si>
  <si>
    <t>South Valley</t>
  </si>
  <si>
    <t>SOUTH VALLEY PREP ST. CHARTER</t>
  </si>
  <si>
    <t>515-001</t>
  </si>
  <si>
    <t>South Valley Prep.</t>
  </si>
  <si>
    <t>SOUTHWEST PREPATORY LEARNING CENTER</t>
  </si>
  <si>
    <t>530-001</t>
  </si>
  <si>
    <t>SWPLC</t>
  </si>
  <si>
    <t>SOUTHWEST SECONDARY LEARNING CENTER</t>
  </si>
  <si>
    <t>531-001</t>
  </si>
  <si>
    <t>SWSLC</t>
  </si>
  <si>
    <t>SW AERONAUTICS, MATHEMATICS AND SCIENCE ACADEMY</t>
  </si>
  <si>
    <t>544-001</t>
  </si>
  <si>
    <t>SAMS</t>
  </si>
  <si>
    <t>TAOS ACADEMY</t>
  </si>
  <si>
    <t>510-001</t>
  </si>
  <si>
    <t>Taos Academy</t>
  </si>
  <si>
    <t>TAOS INTEGRATED SCHOOL OF ARTS ST.</t>
  </si>
  <si>
    <t>521-001</t>
  </si>
  <si>
    <t>TISA</t>
  </si>
  <si>
    <t>TAOS INTERNATIONAL</t>
  </si>
  <si>
    <t>555-001</t>
  </si>
  <si>
    <t>Taos Intl.</t>
  </si>
  <si>
    <t>TAOS MUNICIPAL CHARTER</t>
  </si>
  <si>
    <t>076-005</t>
  </si>
  <si>
    <t>TMCS</t>
  </si>
  <si>
    <t>TECHNOLOGY LEADERSHIP</t>
  </si>
  <si>
    <t>001-753</t>
  </si>
  <si>
    <t>Tech Ldrshp.</t>
  </si>
  <si>
    <t>THE ALBUQUERQUE TALENT AND DEVELOPMENT ACAD</t>
  </si>
  <si>
    <t>001-016</t>
  </si>
  <si>
    <t>ABQ TDA</t>
  </si>
  <si>
    <t>THE GREAT ACADEMY</t>
  </si>
  <si>
    <t>536-001</t>
  </si>
  <si>
    <t>GREAT</t>
  </si>
  <si>
    <t>THRIVE COMMUNITY SCHOOL</t>
  </si>
  <si>
    <t>582-001</t>
  </si>
  <si>
    <t>THRIVE</t>
  </si>
  <si>
    <t>TIERRA ADENTRO ST. CHARTER</t>
  </si>
  <si>
    <t>518-001</t>
  </si>
  <si>
    <t>Tierra Adentro</t>
  </si>
  <si>
    <t>TIERRA ENCANTADA CHARTER</t>
  </si>
  <si>
    <t>565-001</t>
  </si>
  <si>
    <t>Tierra Encantada</t>
  </si>
  <si>
    <t>TURQUOISE TRAIL ELEMENTARY</t>
  </si>
  <si>
    <t>566-001</t>
  </si>
  <si>
    <t>Turquoise Trail</t>
  </si>
  <si>
    <t>Twenty First Century (21st CENTURY PUBLIC ACADEMY)</t>
  </si>
  <si>
    <t>580-001</t>
  </si>
  <si>
    <t>21st</t>
  </si>
  <si>
    <t>UNITED COMMUNITY ACADEMY</t>
  </si>
  <si>
    <t>001-770</t>
  </si>
  <si>
    <t>UCA</t>
  </si>
  <si>
    <t>VISTA GRANDE</t>
  </si>
  <si>
    <t>585-001</t>
  </si>
  <si>
    <t>Vista Grande</t>
  </si>
  <si>
    <t>VOZ COLLEGIATE PREPARATORY CHARTER SCHOOL</t>
  </si>
  <si>
    <t>001-709</t>
  </si>
  <si>
    <t>Voz</t>
  </si>
  <si>
    <t>WALATOWA CHARTER HIGH SCHOOL</t>
  </si>
  <si>
    <t>552-001</t>
  </si>
  <si>
    <t>Walatowa</t>
  </si>
  <si>
    <t>WILLIAM W &amp; JOSEPHINE DORN CHARTER</t>
  </si>
  <si>
    <t>001-782</t>
  </si>
  <si>
    <t>WWJD</t>
  </si>
  <si>
    <t>GO BOND</t>
  </si>
  <si>
    <t>TEACHERAGE BOND</t>
  </si>
  <si>
    <t>ED TECH BOND</t>
  </si>
  <si>
    <t>ENERGY EFFICIENCY BOND</t>
  </si>
  <si>
    <t>HB 33</t>
  </si>
  <si>
    <t>SB9 - STATE</t>
  </si>
  <si>
    <t>SB9 - LOCAL</t>
  </si>
  <si>
    <t>SB9 - STATE MATCH</t>
  </si>
  <si>
    <t>CAPITAL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</si>
</sst>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-000"/>
    <numFmt numFmtId="165" formatCode="mm/dd/yyyy;@"/>
    <numFmt numFmtId="166" formatCode="mm/dd/yyyy"/>
    <numFmt numFmtId="167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 tint="-0.24994659260841701"/>
      </top>
      <bottom style="thin">
        <color indexed="64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29">
    <xf numFmtId="0" fontId="0" fillId="0" borderId="0" xfId="0"/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40" fontId="16" fillId="0" borderId="9" xfId="0" applyNumberFormat="1" applyFont="1" applyBorder="1" applyAlignment="1" applyProtection="1">
      <alignment vertical="center"/>
      <protection locked="0"/>
    </xf>
    <xf numFmtId="40" fontId="16" fillId="0" borderId="32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40" fontId="16" fillId="0" borderId="0" xfId="0" applyNumberFormat="1" applyFont="1" applyAlignment="1" applyProtection="1">
      <alignment vertical="center"/>
      <protection locked="0"/>
    </xf>
    <xf numFmtId="40" fontId="16" fillId="0" borderId="1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0" fontId="15" fillId="0" borderId="14" xfId="0" applyNumberFormat="1" applyFont="1" applyBorder="1" applyAlignment="1" applyProtection="1">
      <alignment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40" fontId="17" fillId="0" borderId="0" xfId="0" applyNumberFormat="1" applyFont="1" applyAlignment="1" applyProtection="1">
      <alignment vertical="center"/>
      <protection locked="0"/>
    </xf>
    <xf numFmtId="40" fontId="17" fillId="0" borderId="14" xfId="0" applyNumberFormat="1" applyFont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40" fontId="16" fillId="3" borderId="0" xfId="0" applyNumberFormat="1" applyFont="1" applyFill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horizontal="left" vertical="center"/>
      <protection locked="0"/>
    </xf>
    <xf numFmtId="40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30" xfId="0" applyFont="1" applyFill="1" applyBorder="1" applyAlignment="1" applyProtection="1">
      <alignment vertical="center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40" fontId="16" fillId="3" borderId="42" xfId="0" applyNumberFormat="1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6" fillId="0" borderId="0" xfId="0" quotePrefix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6" fillId="0" borderId="0" xfId="0" applyFon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0" xfId="0" applyFont="1"/>
    <xf numFmtId="0" fontId="10" fillId="0" borderId="14" xfId="0" applyFont="1" applyBorder="1"/>
    <xf numFmtId="0" fontId="10" fillId="0" borderId="16" xfId="0" applyFont="1" applyBorder="1"/>
    <xf numFmtId="0" fontId="10" fillId="0" borderId="18" xfId="0" applyFont="1" applyBorder="1"/>
    <xf numFmtId="0" fontId="10" fillId="0" borderId="15" xfId="0" applyFont="1" applyBorder="1"/>
    <xf numFmtId="0" fontId="3" fillId="0" borderId="0" xfId="0" applyFont="1"/>
    <xf numFmtId="0" fontId="0" fillId="0" borderId="6" xfId="0" applyBorder="1"/>
    <xf numFmtId="0" fontId="11" fillId="0" borderId="26" xfId="0" applyFont="1" applyBorder="1"/>
    <xf numFmtId="0" fontId="0" fillId="0" borderId="25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6" xfId="0" applyFont="1" applyBorder="1"/>
    <xf numFmtId="0" fontId="0" fillId="0" borderId="18" xfId="0" applyBorder="1"/>
    <xf numFmtId="0" fontId="0" fillId="0" borderId="15" xfId="0" applyBorder="1"/>
    <xf numFmtId="0" fontId="2" fillId="0" borderId="10" xfId="0" applyFont="1" applyBorder="1"/>
    <xf numFmtId="0" fontId="2" fillId="0" borderId="16" xfId="0" applyFont="1" applyBorder="1"/>
    <xf numFmtId="0" fontId="0" fillId="0" borderId="7" xfId="0" applyBorder="1"/>
    <xf numFmtId="40" fontId="15" fillId="0" borderId="0" xfId="0" applyNumberFormat="1" applyFont="1" applyAlignment="1" applyProtection="1">
      <alignment vertical="center"/>
      <protection locked="0"/>
    </xf>
    <xf numFmtId="0" fontId="16" fillId="0" borderId="48" xfId="0" applyFont="1" applyBorder="1" applyAlignment="1" applyProtection="1">
      <alignment vertical="center"/>
      <protection locked="0"/>
    </xf>
    <xf numFmtId="0" fontId="16" fillId="0" borderId="49" xfId="0" applyFont="1" applyBorder="1" applyAlignment="1" applyProtection="1">
      <alignment vertical="center"/>
      <protection locked="0"/>
    </xf>
    <xf numFmtId="167" fontId="0" fillId="0" borderId="0" xfId="0" applyNumberFormat="1"/>
    <xf numFmtId="0" fontId="20" fillId="0" borderId="0" xfId="0" applyFont="1" applyAlignment="1" applyProtection="1">
      <alignment vertical="center"/>
      <protection locked="0"/>
    </xf>
    <xf numFmtId="0" fontId="17" fillId="0" borderId="16" xfId="0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 vertical="top" indent="3"/>
    </xf>
    <xf numFmtId="0" fontId="17" fillId="0" borderId="0" xfId="0" applyFont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3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40" fontId="17" fillId="0" borderId="0" xfId="0" applyNumberFormat="1" applyFont="1" applyAlignment="1">
      <alignment vertical="center"/>
    </xf>
    <xf numFmtId="40" fontId="17" fillId="0" borderId="17" xfId="0" applyNumberFormat="1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40" fontId="17" fillId="0" borderId="4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0" fontId="16" fillId="0" borderId="0" xfId="0" applyNumberFormat="1" applyFont="1" applyAlignment="1">
      <alignment vertical="center"/>
    </xf>
    <xf numFmtId="40" fontId="16" fillId="0" borderId="18" xfId="0" applyNumberFormat="1" applyFont="1" applyBorder="1" applyAlignment="1">
      <alignment vertical="center"/>
    </xf>
    <xf numFmtId="40" fontId="17" fillId="0" borderId="18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right" vertical="center"/>
    </xf>
    <xf numFmtId="40" fontId="17" fillId="0" borderId="48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0" fontId="16" fillId="0" borderId="9" xfId="0" applyNumberFormat="1" applyFont="1" applyBorder="1" applyAlignment="1">
      <alignment vertical="center"/>
    </xf>
    <xf numFmtId="40" fontId="16" fillId="0" borderId="32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0" fontId="17" fillId="0" borderId="9" xfId="0" applyNumberFormat="1" applyFont="1" applyBorder="1" applyAlignment="1">
      <alignment vertical="center"/>
    </xf>
    <xf numFmtId="40" fontId="17" fillId="0" borderId="32" xfId="0" applyNumberFormat="1" applyFont="1" applyBorder="1" applyAlignment="1">
      <alignment vertical="center"/>
    </xf>
    <xf numFmtId="40" fontId="17" fillId="2" borderId="9" xfId="0" applyNumberFormat="1" applyFont="1" applyFill="1" applyBorder="1" applyAlignment="1">
      <alignment vertical="center"/>
    </xf>
    <xf numFmtId="40" fontId="17" fillId="2" borderId="32" xfId="0" applyNumberFormat="1" applyFont="1" applyFill="1" applyBorder="1" applyAlignment="1">
      <alignment vertical="center"/>
    </xf>
    <xf numFmtId="40" fontId="17" fillId="0" borderId="34" xfId="0" applyNumberFormat="1" applyFont="1" applyBorder="1" applyAlignment="1">
      <alignment vertical="center"/>
    </xf>
    <xf numFmtId="40" fontId="17" fillId="0" borderId="35" xfId="0" applyNumberFormat="1" applyFont="1" applyBorder="1" applyAlignment="1">
      <alignment vertical="center"/>
    </xf>
    <xf numFmtId="40" fontId="17" fillId="0" borderId="14" xfId="0" applyNumberFormat="1" applyFont="1" applyBorder="1" applyAlignment="1">
      <alignment vertical="center"/>
    </xf>
    <xf numFmtId="40" fontId="2" fillId="0" borderId="14" xfId="0" applyNumberFormat="1" applyFont="1" applyBorder="1" applyAlignment="1">
      <alignment vertical="center"/>
    </xf>
    <xf numFmtId="0" fontId="16" fillId="0" borderId="0" xfId="0" applyFont="1"/>
    <xf numFmtId="0" fontId="17" fillId="3" borderId="52" xfId="0" applyFont="1" applyFill="1" applyBorder="1"/>
    <xf numFmtId="0" fontId="17" fillId="0" borderId="52" xfId="0" applyFont="1" applyBorder="1"/>
    <xf numFmtId="0" fontId="16" fillId="0" borderId="52" xfId="0" applyFont="1" applyBorder="1"/>
    <xf numFmtId="0" fontId="16" fillId="2" borderId="52" xfId="0" applyFont="1" applyFill="1" applyBorder="1"/>
    <xf numFmtId="2" fontId="16" fillId="2" borderId="52" xfId="0" applyNumberFormat="1" applyFont="1" applyFill="1" applyBorder="1"/>
    <xf numFmtId="0" fontId="0" fillId="0" borderId="52" xfId="0" applyBorder="1"/>
    <xf numFmtId="0" fontId="16" fillId="0" borderId="52" xfId="1" applyFont="1" applyBorder="1"/>
    <xf numFmtId="0" fontId="14" fillId="0" borderId="0" xfId="0" applyFont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/>
      <protection locked="0"/>
    </xf>
    <xf numFmtId="0" fontId="16" fillId="0" borderId="4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165" fontId="16" fillId="0" borderId="9" xfId="0" applyNumberFormat="1" applyFont="1" applyBorder="1" applyAlignment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166" fontId="16" fillId="3" borderId="9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40" fontId="17" fillId="0" borderId="24" xfId="0" applyNumberFormat="1" applyFont="1" applyBorder="1" applyAlignment="1">
      <alignment horizontal="center" vertical="center"/>
    </xf>
    <xf numFmtId="40" fontId="17" fillId="0" borderId="4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ACF7270F-279D-49E4-8C66-E88865C569AB}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31"/>
  <sheetViews>
    <sheetView tabSelected="1" topLeftCell="A178" zoomScale="130" zoomScaleNormal="130" workbookViewId="0">
      <selection activeCell="F200" sqref="F200"/>
    </sheetView>
  </sheetViews>
  <sheetFormatPr defaultColWidth="8.7109375" defaultRowHeight="15.75" x14ac:dyDescent="0.25"/>
  <cols>
    <col min="1" max="1" width="11.7109375" style="37" customWidth="1"/>
    <col min="2" max="2" width="15.140625" style="37" customWidth="1"/>
    <col min="3" max="3" width="32.140625" style="37" customWidth="1"/>
    <col min="4" max="14" width="19.7109375" style="37" customWidth="1"/>
    <col min="15" max="16384" width="8.7109375" style="37"/>
  </cols>
  <sheetData>
    <row r="1" spans="1:13" ht="15.75" customHeight="1" x14ac:dyDescent="0.25">
      <c r="A1" s="76" t="s">
        <v>212</v>
      </c>
      <c r="B1" s="1"/>
      <c r="C1" s="157"/>
      <c r="D1" s="157"/>
      <c r="E1" s="155" t="str">
        <f>CONCATENATE("PED Cash Report for ",YEAR(C3),"-",YEAR(C3)+1," Fiscal Year")</f>
        <v>PED Cash Report for 2022-2023 Fiscal Year</v>
      </c>
      <c r="F1" s="155"/>
      <c r="G1" s="155"/>
      <c r="H1" s="155"/>
      <c r="I1" s="155"/>
      <c r="J1" s="78" t="s">
        <v>30</v>
      </c>
      <c r="K1" s="185"/>
      <c r="L1" s="185"/>
    </row>
    <row r="2" spans="1:13" ht="15.75" customHeight="1" x14ac:dyDescent="0.25">
      <c r="A2" s="77" t="s">
        <v>0</v>
      </c>
      <c r="B2" s="31"/>
      <c r="C2" s="156" t="str">
        <f>IFERROR(INDEX(PED_ONLY!$B$2:$B$257,MATCH('CASH REPORT'!C1,PED_ONLY!$A$2:$A$257,0)),"000-000")</f>
        <v>000-000</v>
      </c>
      <c r="D2" s="156"/>
      <c r="E2" s="155"/>
      <c r="F2" s="155"/>
      <c r="G2" s="155"/>
      <c r="H2" s="155"/>
      <c r="I2" s="155"/>
      <c r="J2" s="78" t="s">
        <v>73</v>
      </c>
      <c r="K2" s="184" t="e">
        <f>INDEX(PED_ONLY2!$B$2:$B$13,MATCH('CASH REPORT'!K1,PED_ONLY2!$A$2:$A$13,0))</f>
        <v>#N/A</v>
      </c>
      <c r="L2" s="184"/>
    </row>
    <row r="3" spans="1:13" ht="15.75" customHeight="1" x14ac:dyDescent="0.25">
      <c r="A3" s="78" t="s">
        <v>214</v>
      </c>
      <c r="C3" s="186">
        <v>44742</v>
      </c>
      <c r="D3" s="186"/>
      <c r="E3" s="155"/>
      <c r="F3" s="155"/>
      <c r="G3" s="155"/>
      <c r="H3" s="155"/>
      <c r="I3" s="155"/>
      <c r="J3" s="147" t="s">
        <v>228</v>
      </c>
      <c r="K3" s="195" t="str">
        <f>IFERROR(_xlfn.CONCAT(INDEX(PED_ONLY!$E$2:$E$257,MATCH('CASH REPORT'!C2,PED_ONLY!$B$2:$B$257,0))," FY",RIGHT(YEAR(C3),2)+1," ",K1," Cash Report ",C2),"Entity Name FY## M#/Q# Cash Report ###-###")</f>
        <v>Entity Name FY## M#/Q# Cash Report ###-###</v>
      </c>
      <c r="L3" s="195"/>
    </row>
    <row r="4" spans="1:13" ht="15.75" customHeight="1" thickBot="1" x14ac:dyDescent="0.3">
      <c r="E4" s="74"/>
      <c r="F4" s="74"/>
      <c r="G4" s="74"/>
      <c r="H4" s="74"/>
      <c r="I4" s="74"/>
      <c r="J4" s="3"/>
      <c r="K4" s="2"/>
      <c r="L4" s="38" t="s">
        <v>202</v>
      </c>
      <c r="M4" s="39"/>
    </row>
    <row r="5" spans="1:13" ht="15.75" customHeight="1" x14ac:dyDescent="0.25">
      <c r="A5" s="212" t="s">
        <v>37</v>
      </c>
      <c r="B5" s="213"/>
      <c r="C5" s="213"/>
      <c r="D5" s="213"/>
      <c r="E5" s="175" t="s">
        <v>2</v>
      </c>
      <c r="F5" s="175" t="s">
        <v>3</v>
      </c>
      <c r="G5" s="175" t="s">
        <v>98</v>
      </c>
      <c r="H5" s="175" t="s">
        <v>4</v>
      </c>
      <c r="I5" s="175" t="s">
        <v>209</v>
      </c>
      <c r="J5" s="175" t="s">
        <v>210</v>
      </c>
      <c r="K5" s="175" t="s">
        <v>5</v>
      </c>
      <c r="L5" s="175" t="s">
        <v>6</v>
      </c>
      <c r="M5" s="196" t="s">
        <v>7</v>
      </c>
    </row>
    <row r="6" spans="1:13" x14ac:dyDescent="0.25">
      <c r="A6" s="214"/>
      <c r="B6" s="215"/>
      <c r="C6" s="215"/>
      <c r="D6" s="215"/>
      <c r="E6" s="176"/>
      <c r="F6" s="176"/>
      <c r="G6" s="176"/>
      <c r="H6" s="176"/>
      <c r="I6" s="176"/>
      <c r="J6" s="176"/>
      <c r="K6" s="176"/>
      <c r="L6" s="176"/>
      <c r="M6" s="197"/>
    </row>
    <row r="7" spans="1:13" x14ac:dyDescent="0.25">
      <c r="A7" s="216"/>
      <c r="B7" s="217"/>
      <c r="C7" s="217"/>
      <c r="D7" s="217"/>
      <c r="E7" s="101">
        <v>11000</v>
      </c>
      <c r="F7" s="101">
        <v>12000</v>
      </c>
      <c r="G7" s="101">
        <v>13000</v>
      </c>
      <c r="H7" s="101">
        <v>14000</v>
      </c>
      <c r="I7" s="101">
        <v>15100</v>
      </c>
      <c r="J7" s="101">
        <v>15200</v>
      </c>
      <c r="K7" s="101">
        <v>21000</v>
      </c>
      <c r="L7" s="101">
        <v>22000</v>
      </c>
      <c r="M7" s="116">
        <v>23000</v>
      </c>
    </row>
    <row r="8" spans="1:13" x14ac:dyDescent="0.25">
      <c r="A8" s="93" t="s">
        <v>9</v>
      </c>
      <c r="B8" s="94" t="str">
        <f>CONCATENATE("Total Cash Balance ",TEXT(MONTH(C3),"00"),"/",TEXT(DAY(C3),"00"),"/",YEAR(C3))</f>
        <v>Total Cash Balance 06/30/2022</v>
      </c>
      <c r="C8" s="94"/>
      <c r="D8" s="88" t="s">
        <v>10</v>
      </c>
      <c r="E8" s="6">
        <v>0</v>
      </c>
      <c r="F8" s="6">
        <v>0</v>
      </c>
      <c r="G8" s="6">
        <v>0</v>
      </c>
      <c r="H8" s="6">
        <v>0</v>
      </c>
      <c r="I8" s="117">
        <v>0</v>
      </c>
      <c r="J8" s="117">
        <v>0</v>
      </c>
      <c r="K8" s="6">
        <v>0</v>
      </c>
      <c r="L8" s="6">
        <v>0</v>
      </c>
      <c r="M8" s="7">
        <v>0</v>
      </c>
    </row>
    <row r="9" spans="1:13" x14ac:dyDescent="0.25">
      <c r="A9" s="84"/>
      <c r="B9" s="78"/>
      <c r="C9" s="78"/>
      <c r="D9" s="78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5">
      <c r="A10" s="84" t="s">
        <v>11</v>
      </c>
      <c r="B10" s="85" t="s">
        <v>194</v>
      </c>
      <c r="C10" s="76"/>
      <c r="D10" s="83" t="s">
        <v>12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0">
        <v>0</v>
      </c>
    </row>
    <row r="11" spans="1:13" x14ac:dyDescent="0.25">
      <c r="A11" s="84"/>
      <c r="B11" s="82" t="s">
        <v>74</v>
      </c>
      <c r="C11" s="78"/>
      <c r="D11" s="78"/>
      <c r="E11" s="9"/>
      <c r="F11" s="9"/>
      <c r="G11" s="9"/>
      <c r="H11" s="9"/>
      <c r="I11" s="9"/>
      <c r="J11" s="9"/>
      <c r="K11" s="9"/>
      <c r="L11" s="9"/>
      <c r="M11" s="10"/>
    </row>
    <row r="12" spans="1:13" x14ac:dyDescent="0.25">
      <c r="A12" s="84" t="s">
        <v>13</v>
      </c>
      <c r="B12" s="76" t="s">
        <v>14</v>
      </c>
      <c r="C12" s="76"/>
      <c r="D12" s="83" t="s">
        <v>12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v>0</v>
      </c>
    </row>
    <row r="13" spans="1:13" x14ac:dyDescent="0.25">
      <c r="A13" s="84"/>
      <c r="B13" s="78"/>
      <c r="C13" s="78"/>
      <c r="D13" s="78"/>
      <c r="E13" s="9" t="s">
        <v>1</v>
      </c>
      <c r="F13" s="9"/>
      <c r="G13" s="9"/>
      <c r="H13" s="9"/>
      <c r="I13" s="9"/>
      <c r="J13" s="9"/>
      <c r="K13" s="9"/>
      <c r="L13" s="9"/>
      <c r="M13" s="10" t="s">
        <v>1</v>
      </c>
    </row>
    <row r="14" spans="1:13" x14ac:dyDescent="0.25">
      <c r="A14" s="86" t="s">
        <v>15</v>
      </c>
      <c r="B14" s="87" t="e">
        <f>CONCATENATE("Total Resources to Date for Current Year ",TEXT(MONTH(K2),"00"),"/",TEXT(DAY(K2),"00"),"/",YEAR(K2))</f>
        <v>#N/A</v>
      </c>
      <c r="C14" s="87"/>
      <c r="D14" s="88" t="s">
        <v>16</v>
      </c>
      <c r="E14" s="131">
        <f>ROUND(E8+E10+E12,2)</f>
        <v>0</v>
      </c>
      <c r="F14" s="131">
        <f t="shared" ref="F14:M14" si="0">ROUND(F8+F10+F12,2)</f>
        <v>0</v>
      </c>
      <c r="G14" s="131">
        <f t="shared" si="0"/>
        <v>0</v>
      </c>
      <c r="H14" s="131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1">
        <f t="shared" si="0"/>
        <v>0</v>
      </c>
      <c r="M14" s="132">
        <f t="shared" si="0"/>
        <v>0</v>
      </c>
    </row>
    <row r="15" spans="1:13" x14ac:dyDescent="0.25">
      <c r="A15" s="84"/>
      <c r="B15" s="78"/>
      <c r="C15" s="78"/>
      <c r="D15" s="78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84" t="s">
        <v>17</v>
      </c>
      <c r="B16" s="85" t="s">
        <v>18</v>
      </c>
      <c r="C16" s="76"/>
      <c r="D16" s="83" t="s">
        <v>19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12">
        <v>0</v>
      </c>
    </row>
    <row r="17" spans="1:13" x14ac:dyDescent="0.25">
      <c r="A17" s="84"/>
      <c r="B17" s="82" t="s">
        <v>186</v>
      </c>
      <c r="C17" s="78"/>
      <c r="D17" s="78"/>
      <c r="E17" s="9"/>
      <c r="F17" s="9"/>
      <c r="G17" s="9"/>
      <c r="H17" s="9"/>
      <c r="I17" s="9"/>
      <c r="J17" s="9"/>
      <c r="K17" s="9"/>
      <c r="L17" s="9"/>
      <c r="M17" s="10"/>
    </row>
    <row r="18" spans="1:13" x14ac:dyDescent="0.25">
      <c r="A18" s="84" t="s">
        <v>20</v>
      </c>
      <c r="B18" s="85" t="s">
        <v>187</v>
      </c>
      <c r="C18" s="76"/>
      <c r="D18" s="83" t="s">
        <v>10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0">
        <v>0</v>
      </c>
    </row>
    <row r="19" spans="1:13" x14ac:dyDescent="0.25">
      <c r="A19" s="84"/>
      <c r="B19" s="82" t="s">
        <v>188</v>
      </c>
      <c r="C19" s="78"/>
      <c r="D19" s="78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5">
      <c r="A20" s="90" t="s">
        <v>21</v>
      </c>
      <c r="B20" s="91" t="s">
        <v>22</v>
      </c>
      <c r="C20" s="91"/>
      <c r="D20" s="92" t="s">
        <v>16</v>
      </c>
      <c r="E20" s="133">
        <f>ROUND(E14+E16+E18,2)</f>
        <v>0</v>
      </c>
      <c r="F20" s="133">
        <f t="shared" ref="F20:M20" si="1">ROUND(F14+F16+F18,2)</f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4">
        <f t="shared" si="1"/>
        <v>0</v>
      </c>
    </row>
    <row r="21" spans="1:13" x14ac:dyDescent="0.25">
      <c r="A21" s="89" t="s">
        <v>23</v>
      </c>
      <c r="B21" s="78"/>
      <c r="C21" s="76"/>
      <c r="D21" s="78"/>
      <c r="E21" s="9"/>
      <c r="F21" s="9"/>
      <c r="G21" s="9"/>
      <c r="H21" s="9"/>
      <c r="I21" s="9"/>
      <c r="J21" s="9"/>
      <c r="K21" s="9"/>
      <c r="L21" s="9"/>
      <c r="M21" s="10"/>
    </row>
    <row r="22" spans="1:13" x14ac:dyDescent="0.25">
      <c r="A22" s="84" t="s">
        <v>24</v>
      </c>
      <c r="B22" s="85" t="s">
        <v>189</v>
      </c>
      <c r="C22" s="76"/>
      <c r="D22" s="83" t="s">
        <v>12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</row>
    <row r="23" spans="1:13" x14ac:dyDescent="0.25">
      <c r="A23" s="84"/>
      <c r="B23" s="82" t="s">
        <v>190</v>
      </c>
      <c r="C23" s="78"/>
      <c r="D23" s="78"/>
      <c r="E23" s="9"/>
      <c r="F23" s="9"/>
      <c r="G23" s="9"/>
      <c r="H23" s="9"/>
      <c r="I23" s="9"/>
      <c r="J23" s="9"/>
      <c r="K23" s="9" t="s">
        <v>1</v>
      </c>
      <c r="L23" s="9"/>
      <c r="M23" s="10"/>
    </row>
    <row r="24" spans="1:13" x14ac:dyDescent="0.25">
      <c r="A24" s="84" t="s">
        <v>25</v>
      </c>
      <c r="B24" s="85" t="s">
        <v>191</v>
      </c>
      <c r="C24" s="76"/>
      <c r="D24" s="83" t="s">
        <v>10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>
        <v>0</v>
      </c>
    </row>
    <row r="25" spans="1:13" x14ac:dyDescent="0.25">
      <c r="A25" s="84"/>
      <c r="B25" s="82" t="s">
        <v>192</v>
      </c>
      <c r="C25" s="76"/>
      <c r="D25" s="11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5">
      <c r="A26" s="86" t="s">
        <v>26</v>
      </c>
      <c r="B26" s="87" t="e">
        <f>CONCATENATE("Total Reconciled Cash Balance ",TEXT(MONTH(K2),"00"),"/",TEXT(DAY(K2),"00"),"/",YEAR(K2))</f>
        <v>#N/A</v>
      </c>
      <c r="C26" s="87"/>
      <c r="D26" s="88" t="s">
        <v>16</v>
      </c>
      <c r="E26" s="131">
        <f>ROUND(E20+E22+E24,2)</f>
        <v>0</v>
      </c>
      <c r="F26" s="131">
        <f t="shared" ref="F26:M26" si="2">ROUND(F20+F22+F24,2)</f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131">
        <f t="shared" si="2"/>
        <v>0</v>
      </c>
      <c r="M26" s="132">
        <f t="shared" si="2"/>
        <v>0</v>
      </c>
    </row>
    <row r="27" spans="1:13" x14ac:dyDescent="0.25">
      <c r="A27" s="84"/>
      <c r="B27" s="76"/>
      <c r="C27" s="76"/>
      <c r="D27" s="119"/>
      <c r="E27" s="9"/>
      <c r="F27" s="9"/>
      <c r="G27" s="9"/>
      <c r="H27" s="9"/>
      <c r="I27" s="9"/>
      <c r="J27" s="9"/>
      <c r="K27" s="9"/>
      <c r="L27" s="9"/>
      <c r="M27" s="10"/>
    </row>
    <row r="28" spans="1:13" x14ac:dyDescent="0.25">
      <c r="A28" s="84" t="s">
        <v>27</v>
      </c>
      <c r="B28" s="85" t="s">
        <v>28</v>
      </c>
      <c r="C28" s="76"/>
      <c r="D28" s="83" t="s">
        <v>10</v>
      </c>
      <c r="E28" s="70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v>0</v>
      </c>
    </row>
    <row r="29" spans="1:13" x14ac:dyDescent="0.25">
      <c r="A29" s="84"/>
      <c r="B29" s="82" t="s">
        <v>193</v>
      </c>
      <c r="C29" s="76"/>
      <c r="D29" s="119"/>
      <c r="E29" s="9"/>
      <c r="F29" s="9"/>
      <c r="G29" s="9"/>
      <c r="H29" s="9"/>
      <c r="I29" s="9"/>
      <c r="J29" s="9"/>
      <c r="K29" s="9"/>
      <c r="L29" s="9"/>
      <c r="M29" s="10"/>
    </row>
    <row r="30" spans="1:13" ht="16.5" thickBot="1" x14ac:dyDescent="0.3">
      <c r="A30" s="79" t="s">
        <v>29</v>
      </c>
      <c r="B30" s="80" t="e">
        <f>CONCATENATE("Total Ending Cash ",TEXT(MONTH(K2),"00"),"/",TEXT(DAY(K2),"00"),"/",YEAR(K2))</f>
        <v>#N/A</v>
      </c>
      <c r="C30" s="80"/>
      <c r="D30" s="81" t="s">
        <v>16</v>
      </c>
      <c r="E30" s="135">
        <f>ROUND(E26+E28,2)</f>
        <v>0</v>
      </c>
      <c r="F30" s="135">
        <f t="shared" ref="F30:M30" si="3">ROUND(F26+F28,2)</f>
        <v>0</v>
      </c>
      <c r="G30" s="135">
        <f t="shared" si="3"/>
        <v>0</v>
      </c>
      <c r="H30" s="135">
        <f t="shared" si="3"/>
        <v>0</v>
      </c>
      <c r="I30" s="135">
        <f t="shared" si="3"/>
        <v>0</v>
      </c>
      <c r="J30" s="135">
        <f t="shared" si="3"/>
        <v>0</v>
      </c>
      <c r="K30" s="135">
        <f t="shared" si="3"/>
        <v>0</v>
      </c>
      <c r="L30" s="135">
        <f t="shared" si="3"/>
        <v>0</v>
      </c>
      <c r="M30" s="136">
        <f t="shared" si="3"/>
        <v>0</v>
      </c>
    </row>
    <row r="31" spans="1:13" ht="16.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9"/>
    </row>
    <row r="32" spans="1:13" x14ac:dyDescent="0.25">
      <c r="A32" s="120"/>
      <c r="B32" s="121"/>
      <c r="C32" s="121"/>
      <c r="D32" s="121"/>
      <c r="E32" s="16"/>
      <c r="F32" s="198" t="s">
        <v>35</v>
      </c>
      <c r="G32" s="198"/>
      <c r="H32" s="175" t="s">
        <v>97</v>
      </c>
      <c r="I32" s="198" t="s">
        <v>33</v>
      </c>
      <c r="J32" s="198"/>
      <c r="K32" s="175" t="s">
        <v>34</v>
      </c>
      <c r="L32" s="158" t="s">
        <v>36</v>
      </c>
      <c r="M32" s="153" t="s">
        <v>211</v>
      </c>
    </row>
    <row r="33" spans="1:13" x14ac:dyDescent="0.25">
      <c r="A33" s="84"/>
      <c r="B33" s="78"/>
      <c r="C33" s="78"/>
      <c r="D33" s="78"/>
      <c r="E33" s="2"/>
      <c r="F33" s="115" t="s">
        <v>31</v>
      </c>
      <c r="G33" s="115" t="s">
        <v>32</v>
      </c>
      <c r="H33" s="176"/>
      <c r="I33" s="115" t="s">
        <v>31</v>
      </c>
      <c r="J33" s="115" t="s">
        <v>32</v>
      </c>
      <c r="K33" s="176"/>
      <c r="L33" s="187"/>
      <c r="M33" s="154"/>
    </row>
    <row r="34" spans="1:13" x14ac:dyDescent="0.25">
      <c r="A34" s="122"/>
      <c r="B34" s="123"/>
      <c r="C34" s="123"/>
      <c r="D34" s="123"/>
      <c r="E34" s="17"/>
      <c r="F34" s="101">
        <v>24000</v>
      </c>
      <c r="G34" s="101">
        <v>25000</v>
      </c>
      <c r="H34" s="101">
        <v>26000</v>
      </c>
      <c r="I34" s="101">
        <v>27000</v>
      </c>
      <c r="J34" s="101">
        <v>28000</v>
      </c>
      <c r="K34" s="101">
        <v>29000</v>
      </c>
      <c r="L34" s="102">
        <v>31100</v>
      </c>
      <c r="M34" s="103">
        <v>31120</v>
      </c>
    </row>
    <row r="35" spans="1:13" x14ac:dyDescent="0.25">
      <c r="A35" s="93" t="str">
        <f>A8</f>
        <v>Line 1</v>
      </c>
      <c r="B35" s="94" t="str">
        <f>B8</f>
        <v>Total Cash Balance 06/30/2022</v>
      </c>
      <c r="C35" s="94"/>
      <c r="D35" s="88" t="s">
        <v>10</v>
      </c>
      <c r="E35" s="5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18">
        <v>0</v>
      </c>
    </row>
    <row r="36" spans="1:13" x14ac:dyDescent="0.25">
      <c r="A36" s="84"/>
      <c r="B36" s="78"/>
      <c r="C36" s="78"/>
      <c r="D36" s="78"/>
      <c r="E36" s="2"/>
      <c r="F36" s="9"/>
      <c r="G36" s="9"/>
      <c r="H36" s="9"/>
      <c r="I36" s="9"/>
      <c r="J36" s="9"/>
      <c r="K36" s="9"/>
      <c r="L36" s="9"/>
      <c r="M36" s="10"/>
    </row>
    <row r="37" spans="1:13" x14ac:dyDescent="0.25">
      <c r="A37" s="84" t="str">
        <f>A10</f>
        <v>Line 2</v>
      </c>
      <c r="B37" s="85" t="str">
        <f>B10</f>
        <v>Current Year Revenue to Date</v>
      </c>
      <c r="C37" s="76"/>
      <c r="D37" s="83" t="s">
        <v>12</v>
      </c>
      <c r="E37" s="2"/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</row>
    <row r="38" spans="1:13" x14ac:dyDescent="0.25">
      <c r="A38" s="84"/>
      <c r="B38" s="82" t="str">
        <f>B11</f>
        <v>(Per OBMS Actuals Revenue Report)</v>
      </c>
      <c r="C38" s="78"/>
      <c r="D38" s="78"/>
      <c r="E38" s="2"/>
      <c r="F38" s="9"/>
      <c r="G38" s="9"/>
      <c r="H38" s="9"/>
      <c r="I38" s="9"/>
      <c r="J38" s="9"/>
      <c r="K38" s="9"/>
      <c r="L38" s="9"/>
      <c r="M38" s="10"/>
    </row>
    <row r="39" spans="1:13" x14ac:dyDescent="0.25">
      <c r="A39" s="84" t="str">
        <f>A12</f>
        <v>Line 3</v>
      </c>
      <c r="B39" s="76" t="str">
        <f>B12</f>
        <v xml:space="preserve">Prior Year Warrants Voided </v>
      </c>
      <c r="C39" s="76"/>
      <c r="D39" s="83" t="s">
        <v>12</v>
      </c>
      <c r="E39" s="11"/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0</v>
      </c>
    </row>
    <row r="40" spans="1:13" x14ac:dyDescent="0.25">
      <c r="A40" s="84"/>
      <c r="B40" s="78"/>
      <c r="C40" s="78"/>
      <c r="D40" s="78"/>
      <c r="E40" s="2"/>
      <c r="F40" s="9"/>
      <c r="G40" s="9"/>
      <c r="H40" s="9"/>
      <c r="I40" s="9"/>
      <c r="J40" s="9"/>
      <c r="K40" s="9"/>
      <c r="L40" s="9" t="s">
        <v>1</v>
      </c>
      <c r="M40" s="10"/>
    </row>
    <row r="41" spans="1:13" x14ac:dyDescent="0.25">
      <c r="A41" s="86" t="str">
        <f>A14</f>
        <v>Line 4</v>
      </c>
      <c r="B41" s="87" t="e">
        <f>B14</f>
        <v>#N/A</v>
      </c>
      <c r="C41" s="87"/>
      <c r="D41" s="88" t="s">
        <v>16</v>
      </c>
      <c r="E41" s="4"/>
      <c r="F41" s="131">
        <f>ROUND(F35+F37+F39,2)</f>
        <v>0</v>
      </c>
      <c r="G41" s="131">
        <f t="shared" ref="G41:M41" si="4">ROUND(G35+G37+G39,2)</f>
        <v>0</v>
      </c>
      <c r="H41" s="131">
        <f t="shared" si="4"/>
        <v>0</v>
      </c>
      <c r="I41" s="131">
        <f t="shared" si="4"/>
        <v>0</v>
      </c>
      <c r="J41" s="131">
        <f t="shared" si="4"/>
        <v>0</v>
      </c>
      <c r="K41" s="131">
        <f t="shared" si="4"/>
        <v>0</v>
      </c>
      <c r="L41" s="131">
        <f t="shared" si="4"/>
        <v>0</v>
      </c>
      <c r="M41" s="132">
        <f t="shared" si="4"/>
        <v>0</v>
      </c>
    </row>
    <row r="42" spans="1:13" x14ac:dyDescent="0.25">
      <c r="A42" s="84"/>
      <c r="B42" s="78"/>
      <c r="C42" s="78"/>
      <c r="D42" s="78"/>
      <c r="E42" s="2"/>
      <c r="F42" s="9"/>
      <c r="G42" s="9"/>
      <c r="H42" s="9"/>
      <c r="I42" s="9"/>
      <c r="J42" s="9"/>
      <c r="K42" s="9"/>
      <c r="L42" s="9"/>
      <c r="M42" s="10"/>
    </row>
    <row r="43" spans="1:13" x14ac:dyDescent="0.25">
      <c r="A43" s="84" t="str">
        <f>A16</f>
        <v>Line 5</v>
      </c>
      <c r="B43" s="85" t="str">
        <f>B16</f>
        <v>Current Year Expenditures to Date</v>
      </c>
      <c r="C43" s="76"/>
      <c r="D43" s="83" t="s">
        <v>19</v>
      </c>
      <c r="E43" s="2"/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12">
        <v>0</v>
      </c>
    </row>
    <row r="44" spans="1:13" x14ac:dyDescent="0.25">
      <c r="A44" s="84"/>
      <c r="B44" s="82" t="str">
        <f>B17</f>
        <v>(Per OMBS Actuals Expenditure Report)</v>
      </c>
      <c r="C44" s="78"/>
      <c r="D44" s="78"/>
      <c r="E44" s="2"/>
      <c r="F44" s="9"/>
      <c r="G44" s="9"/>
      <c r="H44" s="9"/>
      <c r="I44" s="9"/>
      <c r="J44" s="9"/>
      <c r="K44" s="9"/>
      <c r="L44" s="9"/>
      <c r="M44" s="10"/>
    </row>
    <row r="45" spans="1:13" x14ac:dyDescent="0.25">
      <c r="A45" s="84" t="str">
        <f>A18</f>
        <v>Line 6</v>
      </c>
      <c r="B45" s="85" t="str">
        <f>B18</f>
        <v>Permanent Cash Transfers/Reversions</v>
      </c>
      <c r="C45" s="76"/>
      <c r="D45" s="83" t="s">
        <v>10</v>
      </c>
      <c r="E45" s="11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">
        <v>0</v>
      </c>
    </row>
    <row r="46" spans="1:13" x14ac:dyDescent="0.25">
      <c r="A46" s="84"/>
      <c r="B46" s="82" t="str">
        <f>B19</f>
        <v>*Provide Explanation on Last Page</v>
      </c>
      <c r="C46" s="78"/>
      <c r="D46" s="78"/>
      <c r="E46" s="2"/>
      <c r="F46" s="9"/>
      <c r="G46" s="9"/>
      <c r="H46" s="9"/>
      <c r="I46" s="9"/>
      <c r="J46" s="9"/>
      <c r="K46" s="9"/>
      <c r="L46" s="9"/>
      <c r="M46" s="10"/>
    </row>
    <row r="47" spans="1:13" x14ac:dyDescent="0.25">
      <c r="A47" s="90" t="str">
        <f>A20</f>
        <v>Line 7</v>
      </c>
      <c r="B47" s="91" t="str">
        <f>B20</f>
        <v xml:space="preserve">Total Cash </v>
      </c>
      <c r="C47" s="91"/>
      <c r="D47" s="92" t="s">
        <v>16</v>
      </c>
      <c r="E47" s="13"/>
      <c r="F47" s="133">
        <f>ROUND(F41+F43+F45,2)</f>
        <v>0</v>
      </c>
      <c r="G47" s="133">
        <f t="shared" ref="G47:M47" si="5">ROUND(G41+G43+G45,2)</f>
        <v>0</v>
      </c>
      <c r="H47" s="133">
        <f t="shared" si="5"/>
        <v>0</v>
      </c>
      <c r="I47" s="133">
        <f t="shared" si="5"/>
        <v>0</v>
      </c>
      <c r="J47" s="133">
        <f t="shared" si="5"/>
        <v>0</v>
      </c>
      <c r="K47" s="133">
        <f t="shared" si="5"/>
        <v>0</v>
      </c>
      <c r="L47" s="133">
        <f t="shared" si="5"/>
        <v>0</v>
      </c>
      <c r="M47" s="134">
        <f t="shared" si="5"/>
        <v>0</v>
      </c>
    </row>
    <row r="48" spans="1:13" x14ac:dyDescent="0.25">
      <c r="A48" s="89" t="str">
        <f>A21</f>
        <v>Other Reconciling Items</v>
      </c>
      <c r="B48" s="78"/>
      <c r="C48" s="124"/>
      <c r="D48" s="78"/>
      <c r="E48" s="2"/>
      <c r="F48" s="9"/>
      <c r="G48" s="9"/>
      <c r="H48" s="9"/>
      <c r="I48" s="9"/>
      <c r="J48" s="9"/>
      <c r="K48" s="9"/>
      <c r="L48" s="9"/>
      <c r="M48" s="10"/>
    </row>
    <row r="49" spans="1:13" x14ac:dyDescent="0.25">
      <c r="A49" s="84" t="str">
        <f>A22</f>
        <v>Line 8</v>
      </c>
      <c r="B49" s="85" t="str">
        <f>B22</f>
        <v xml:space="preserve">Payroll Liabilities </v>
      </c>
      <c r="C49" s="76"/>
      <c r="D49" s="83" t="s">
        <v>12</v>
      </c>
      <c r="E49" s="11"/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">
        <v>0</v>
      </c>
    </row>
    <row r="50" spans="1:13" x14ac:dyDescent="0.25">
      <c r="A50" s="84"/>
      <c r="B50" s="82" t="str">
        <f>B23</f>
        <v>**Provide Explanation on Last Page</v>
      </c>
      <c r="C50" s="78"/>
      <c r="D50" s="78"/>
      <c r="E50" s="2"/>
      <c r="F50" s="9"/>
      <c r="G50" s="9"/>
      <c r="H50" s="9"/>
      <c r="I50" s="9" t="s">
        <v>1</v>
      </c>
      <c r="J50" s="9"/>
      <c r="K50" s="9"/>
      <c r="L50" s="9"/>
      <c r="M50" s="10"/>
    </row>
    <row r="51" spans="1:13" x14ac:dyDescent="0.25">
      <c r="A51" s="84" t="str">
        <f>A24</f>
        <v>Line 9</v>
      </c>
      <c r="B51" s="85" t="str">
        <f>B24</f>
        <v xml:space="preserve">Adjustments </v>
      </c>
      <c r="C51" s="76"/>
      <c r="D51" s="83" t="s">
        <v>10</v>
      </c>
      <c r="E51" s="11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">
        <v>0</v>
      </c>
    </row>
    <row r="52" spans="1:13" x14ac:dyDescent="0.25">
      <c r="A52" s="84"/>
      <c r="B52" s="82" t="str">
        <f>B25</f>
        <v>***Provide Explanation on Last Page</v>
      </c>
      <c r="C52" s="76"/>
      <c r="D52" s="119"/>
      <c r="E52" s="11"/>
      <c r="F52" s="9"/>
      <c r="G52" s="9"/>
      <c r="H52" s="9"/>
      <c r="I52" s="9"/>
      <c r="J52" s="9"/>
      <c r="K52" s="9"/>
      <c r="L52" s="9"/>
      <c r="M52" s="10"/>
    </row>
    <row r="53" spans="1:13" x14ac:dyDescent="0.25">
      <c r="A53" s="86" t="str">
        <f>A26</f>
        <v>Line 10</v>
      </c>
      <c r="B53" s="87" t="e">
        <f>B26</f>
        <v>#N/A</v>
      </c>
      <c r="C53" s="87"/>
      <c r="D53" s="88" t="s">
        <v>16</v>
      </c>
      <c r="E53" s="4"/>
      <c r="F53" s="131">
        <f>ROUND(F47+F49+F51,2)</f>
        <v>0</v>
      </c>
      <c r="G53" s="131">
        <f t="shared" ref="G53:M53" si="6">ROUND(G47+G49+G51,2)</f>
        <v>0</v>
      </c>
      <c r="H53" s="131">
        <f t="shared" si="6"/>
        <v>0</v>
      </c>
      <c r="I53" s="131">
        <f t="shared" si="6"/>
        <v>0</v>
      </c>
      <c r="J53" s="131">
        <f t="shared" si="6"/>
        <v>0</v>
      </c>
      <c r="K53" s="131">
        <f t="shared" si="6"/>
        <v>0</v>
      </c>
      <c r="L53" s="131">
        <f t="shared" si="6"/>
        <v>0</v>
      </c>
      <c r="M53" s="132">
        <f t="shared" si="6"/>
        <v>0</v>
      </c>
    </row>
    <row r="54" spans="1:13" x14ac:dyDescent="0.25">
      <c r="A54" s="84"/>
      <c r="B54" s="76"/>
      <c r="C54" s="76"/>
      <c r="D54" s="119"/>
      <c r="E54" s="11"/>
      <c r="F54" s="9"/>
      <c r="G54" s="9"/>
      <c r="H54" s="9"/>
      <c r="I54" s="9"/>
      <c r="J54" s="9"/>
      <c r="K54" s="9"/>
      <c r="L54" s="9"/>
      <c r="M54" s="10"/>
    </row>
    <row r="55" spans="1:13" x14ac:dyDescent="0.25">
      <c r="A55" s="84" t="str">
        <f>A28</f>
        <v>Line 11</v>
      </c>
      <c r="B55" s="85" t="str">
        <f>B28</f>
        <v xml:space="preserve">Total Outstanding Loans </v>
      </c>
      <c r="C55" s="76"/>
      <c r="D55" s="83" t="s">
        <v>10</v>
      </c>
      <c r="E55" s="11"/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">
        <v>0</v>
      </c>
    </row>
    <row r="56" spans="1:13" x14ac:dyDescent="0.25">
      <c r="A56" s="84"/>
      <c r="B56" s="82" t="str">
        <f>B29</f>
        <v>****Provide Explanation on Last Page</v>
      </c>
      <c r="C56" s="76"/>
      <c r="D56" s="119"/>
      <c r="E56" s="11"/>
      <c r="F56" s="9"/>
      <c r="G56" s="9"/>
      <c r="H56" s="9"/>
      <c r="I56" s="9"/>
      <c r="J56" s="9"/>
      <c r="K56" s="9"/>
      <c r="L56" s="9"/>
      <c r="M56" s="10"/>
    </row>
    <row r="57" spans="1:13" ht="16.5" thickBot="1" x14ac:dyDescent="0.3">
      <c r="A57" s="79" t="str">
        <f>A30</f>
        <v>Line 12</v>
      </c>
      <c r="B57" s="80" t="e">
        <f>B30</f>
        <v>#N/A</v>
      </c>
      <c r="C57" s="80"/>
      <c r="D57" s="81" t="s">
        <v>16</v>
      </c>
      <c r="E57" s="15"/>
      <c r="F57" s="135">
        <f>ROUND(F53+F55,2)</f>
        <v>0</v>
      </c>
      <c r="G57" s="135">
        <f t="shared" ref="G57:M57" si="7">ROUND(G53+G55,2)</f>
        <v>0</v>
      </c>
      <c r="H57" s="135">
        <f t="shared" si="7"/>
        <v>0</v>
      </c>
      <c r="I57" s="135">
        <f t="shared" si="7"/>
        <v>0</v>
      </c>
      <c r="J57" s="135">
        <f t="shared" si="7"/>
        <v>0</v>
      </c>
      <c r="K57" s="135">
        <f t="shared" si="7"/>
        <v>0</v>
      </c>
      <c r="L57" s="135">
        <f t="shared" si="7"/>
        <v>0</v>
      </c>
      <c r="M57" s="136">
        <f t="shared" si="7"/>
        <v>0</v>
      </c>
    </row>
    <row r="58" spans="1:13" ht="16.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9"/>
    </row>
    <row r="59" spans="1:13" ht="15.75" customHeight="1" x14ac:dyDescent="0.25">
      <c r="A59" s="120"/>
      <c r="B59" s="121"/>
      <c r="C59" s="121"/>
      <c r="D59" s="121"/>
      <c r="E59" s="16"/>
      <c r="F59" s="175" t="s">
        <v>42</v>
      </c>
      <c r="G59" s="149" t="s">
        <v>38</v>
      </c>
      <c r="H59" s="150"/>
      <c r="I59" s="151"/>
      <c r="J59" s="149" t="s">
        <v>868</v>
      </c>
      <c r="K59" s="150"/>
      <c r="L59" s="150"/>
      <c r="M59" s="152"/>
    </row>
    <row r="60" spans="1:13" x14ac:dyDescent="0.25">
      <c r="A60" s="84"/>
      <c r="B60" s="78"/>
      <c r="C60" s="78"/>
      <c r="D60" s="78"/>
      <c r="E60" s="2"/>
      <c r="F60" s="176"/>
      <c r="G60" s="115" t="s">
        <v>39</v>
      </c>
      <c r="H60" s="115" t="s">
        <v>33</v>
      </c>
      <c r="I60" s="115" t="s">
        <v>35</v>
      </c>
      <c r="J60" s="115" t="s">
        <v>864</v>
      </c>
      <c r="K60" s="115" t="s">
        <v>865</v>
      </c>
      <c r="L60" s="115" t="s">
        <v>866</v>
      </c>
      <c r="M60" s="148" t="s">
        <v>867</v>
      </c>
    </row>
    <row r="61" spans="1:13" x14ac:dyDescent="0.25">
      <c r="A61" s="122"/>
      <c r="B61" s="123"/>
      <c r="C61" s="123"/>
      <c r="D61" s="123"/>
      <c r="E61" s="17"/>
      <c r="F61" s="101">
        <v>31200</v>
      </c>
      <c r="G61" s="101">
        <v>31300</v>
      </c>
      <c r="H61" s="101">
        <v>31400</v>
      </c>
      <c r="I61" s="101">
        <v>31500</v>
      </c>
      <c r="J61" s="101">
        <v>31600</v>
      </c>
      <c r="K61" s="101">
        <v>31700</v>
      </c>
      <c r="L61" s="101">
        <v>31701</v>
      </c>
      <c r="M61" s="116">
        <v>31703</v>
      </c>
    </row>
    <row r="62" spans="1:13" x14ac:dyDescent="0.25">
      <c r="A62" s="93" t="str">
        <f>A8</f>
        <v>Line 1</v>
      </c>
      <c r="B62" s="94" t="str">
        <f>B8</f>
        <v>Total Cash Balance 06/30/2022</v>
      </c>
      <c r="C62" s="94"/>
      <c r="D62" s="88" t="s">
        <v>10</v>
      </c>
      <c r="E62" s="5"/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7">
        <v>0</v>
      </c>
    </row>
    <row r="63" spans="1:13" x14ac:dyDescent="0.25">
      <c r="A63" s="84"/>
      <c r="B63" s="78"/>
      <c r="C63" s="78"/>
      <c r="D63" s="78"/>
      <c r="E63" s="2"/>
      <c r="F63" s="9"/>
      <c r="G63" s="9"/>
      <c r="H63" s="9"/>
      <c r="I63" s="9"/>
      <c r="J63" s="9"/>
      <c r="K63" s="9"/>
      <c r="L63" s="9"/>
      <c r="M63" s="10"/>
    </row>
    <row r="64" spans="1:13" x14ac:dyDescent="0.25">
      <c r="A64" s="84" t="str">
        <f>A10</f>
        <v>Line 2</v>
      </c>
      <c r="B64" s="85" t="str">
        <f>B10</f>
        <v>Current Year Revenue to Date</v>
      </c>
      <c r="C64" s="76"/>
      <c r="D64" s="83" t="s">
        <v>12</v>
      </c>
      <c r="E64" s="2"/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0">
        <v>0</v>
      </c>
    </row>
    <row r="65" spans="1:13" x14ac:dyDescent="0.25">
      <c r="A65" s="84"/>
      <c r="B65" s="82" t="str">
        <f>B11</f>
        <v>(Per OBMS Actuals Revenue Report)</v>
      </c>
      <c r="C65" s="78"/>
      <c r="D65" s="78"/>
      <c r="E65" s="2"/>
      <c r="F65" s="9"/>
      <c r="G65" s="9"/>
      <c r="H65" s="9"/>
      <c r="I65" s="9"/>
      <c r="J65" s="9"/>
      <c r="K65" s="9"/>
      <c r="L65" s="9"/>
      <c r="M65" s="10"/>
    </row>
    <row r="66" spans="1:13" x14ac:dyDescent="0.25">
      <c r="A66" s="84" t="str">
        <f>A12</f>
        <v>Line 3</v>
      </c>
      <c r="B66" s="76" t="str">
        <f>B12</f>
        <v xml:space="preserve">Prior Year Warrants Voided </v>
      </c>
      <c r="C66" s="76"/>
      <c r="D66" s="83" t="s">
        <v>12</v>
      </c>
      <c r="E66" s="11"/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0">
        <v>0</v>
      </c>
    </row>
    <row r="67" spans="1:13" x14ac:dyDescent="0.25">
      <c r="A67" s="84"/>
      <c r="B67" s="78"/>
      <c r="C67" s="78"/>
      <c r="D67" s="78"/>
      <c r="E67" s="2"/>
      <c r="F67" s="9"/>
      <c r="G67" s="9"/>
      <c r="H67" s="9"/>
      <c r="I67" s="9"/>
      <c r="J67" s="9"/>
      <c r="K67" s="9"/>
      <c r="L67" s="9"/>
      <c r="M67" s="10"/>
    </row>
    <row r="68" spans="1:13" x14ac:dyDescent="0.25">
      <c r="A68" s="86" t="str">
        <f>A14</f>
        <v>Line 4</v>
      </c>
      <c r="B68" s="87" t="e">
        <f>B14</f>
        <v>#N/A</v>
      </c>
      <c r="C68" s="87"/>
      <c r="D68" s="88" t="s">
        <v>16</v>
      </c>
      <c r="E68" s="4"/>
      <c r="F68" s="131">
        <f>ROUND(F62+F64+F66,2)</f>
        <v>0</v>
      </c>
      <c r="G68" s="131">
        <f t="shared" ref="G68:M68" si="8">ROUND(G62+G64+G66,2)</f>
        <v>0</v>
      </c>
      <c r="H68" s="131">
        <f t="shared" si="8"/>
        <v>0</v>
      </c>
      <c r="I68" s="131">
        <f t="shared" si="8"/>
        <v>0</v>
      </c>
      <c r="J68" s="131">
        <f t="shared" si="8"/>
        <v>0</v>
      </c>
      <c r="K68" s="131">
        <f t="shared" si="8"/>
        <v>0</v>
      </c>
      <c r="L68" s="131">
        <f t="shared" si="8"/>
        <v>0</v>
      </c>
      <c r="M68" s="132">
        <f t="shared" si="8"/>
        <v>0</v>
      </c>
    </row>
    <row r="69" spans="1:13" x14ac:dyDescent="0.25">
      <c r="A69" s="84"/>
      <c r="B69" s="78"/>
      <c r="C69" s="78"/>
      <c r="D69" s="78"/>
      <c r="E69" s="2"/>
      <c r="F69" s="19"/>
      <c r="G69" s="19"/>
      <c r="H69" s="19"/>
      <c r="I69" s="19"/>
      <c r="J69" s="19"/>
      <c r="K69" s="19"/>
      <c r="L69" s="19"/>
      <c r="M69" s="20"/>
    </row>
    <row r="70" spans="1:13" x14ac:dyDescent="0.25">
      <c r="A70" s="84" t="str">
        <f>A16</f>
        <v>Line 5</v>
      </c>
      <c r="B70" s="85" t="str">
        <f>B16</f>
        <v>Current Year Expenditures to Date</v>
      </c>
      <c r="C70" s="76"/>
      <c r="D70" s="83" t="s">
        <v>19</v>
      </c>
      <c r="E70" s="2"/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12">
        <v>0</v>
      </c>
    </row>
    <row r="71" spans="1:13" x14ac:dyDescent="0.25">
      <c r="A71" s="84"/>
      <c r="B71" s="82" t="str">
        <f>B17</f>
        <v>(Per OMBS Actuals Expenditure Report)</v>
      </c>
      <c r="C71" s="78"/>
      <c r="D71" s="78"/>
      <c r="E71" s="2"/>
      <c r="F71" s="9"/>
      <c r="G71" s="9"/>
      <c r="H71" s="9"/>
      <c r="I71" s="9"/>
      <c r="J71" s="9"/>
      <c r="K71" s="9"/>
      <c r="L71" s="9"/>
      <c r="M71" s="10"/>
    </row>
    <row r="72" spans="1:13" x14ac:dyDescent="0.25">
      <c r="A72" s="84" t="str">
        <f>A18</f>
        <v>Line 6</v>
      </c>
      <c r="B72" s="85" t="str">
        <f>B18</f>
        <v>Permanent Cash Transfers/Reversions</v>
      </c>
      <c r="C72" s="76"/>
      <c r="D72" s="83" t="s">
        <v>10</v>
      </c>
      <c r="E72" s="11"/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0">
        <v>0</v>
      </c>
    </row>
    <row r="73" spans="1:13" x14ac:dyDescent="0.25">
      <c r="A73" s="84"/>
      <c r="B73" s="82" t="str">
        <f>B19</f>
        <v>*Provide Explanation on Last Page</v>
      </c>
      <c r="C73" s="78"/>
      <c r="D73" s="78"/>
      <c r="E73" s="2"/>
      <c r="F73" s="9"/>
      <c r="G73" s="9"/>
      <c r="H73" s="9"/>
      <c r="I73" s="9"/>
      <c r="J73" s="9"/>
      <c r="K73" s="9"/>
      <c r="L73" s="9"/>
      <c r="M73" s="10"/>
    </row>
    <row r="74" spans="1:13" x14ac:dyDescent="0.25">
      <c r="A74" s="90" t="str">
        <f>A20</f>
        <v>Line 7</v>
      </c>
      <c r="B74" s="91" t="str">
        <f>B20</f>
        <v xml:space="preserve">Total Cash </v>
      </c>
      <c r="C74" s="91"/>
      <c r="D74" s="92" t="s">
        <v>16</v>
      </c>
      <c r="E74" s="13"/>
      <c r="F74" s="133">
        <f>ROUND(F68+F70+F72,2)</f>
        <v>0</v>
      </c>
      <c r="G74" s="133">
        <f t="shared" ref="G74:M74" si="9">ROUND(G68+G70+G72,2)</f>
        <v>0</v>
      </c>
      <c r="H74" s="133">
        <f t="shared" si="9"/>
        <v>0</v>
      </c>
      <c r="I74" s="133">
        <f t="shared" si="9"/>
        <v>0</v>
      </c>
      <c r="J74" s="133">
        <f t="shared" si="9"/>
        <v>0</v>
      </c>
      <c r="K74" s="133">
        <f t="shared" si="9"/>
        <v>0</v>
      </c>
      <c r="L74" s="133">
        <f t="shared" si="9"/>
        <v>0</v>
      </c>
      <c r="M74" s="134">
        <f t="shared" si="9"/>
        <v>0</v>
      </c>
    </row>
    <row r="75" spans="1:13" x14ac:dyDescent="0.25">
      <c r="A75" s="89" t="str">
        <f>A21</f>
        <v>Other Reconciling Items</v>
      </c>
      <c r="B75" s="78"/>
      <c r="C75" s="124"/>
      <c r="D75" s="78"/>
      <c r="E75" s="2"/>
      <c r="F75" s="9"/>
      <c r="G75" s="9"/>
      <c r="H75" s="9"/>
      <c r="I75" s="9"/>
      <c r="J75" s="9"/>
      <c r="K75" s="9"/>
      <c r="L75" s="9"/>
      <c r="M75" s="10"/>
    </row>
    <row r="76" spans="1:13" x14ac:dyDescent="0.25">
      <c r="A76" s="84" t="str">
        <f>A22</f>
        <v>Line 8</v>
      </c>
      <c r="B76" s="85" t="str">
        <f>B22</f>
        <v xml:space="preserve">Payroll Liabilities </v>
      </c>
      <c r="C76" s="76"/>
      <c r="D76" s="83" t="s">
        <v>12</v>
      </c>
      <c r="E76" s="11"/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0">
        <v>0</v>
      </c>
    </row>
    <row r="77" spans="1:13" x14ac:dyDescent="0.25">
      <c r="A77" s="84"/>
      <c r="B77" s="82" t="str">
        <f>B23</f>
        <v>**Provide Explanation on Last Page</v>
      </c>
      <c r="C77" s="78"/>
      <c r="D77" s="78"/>
      <c r="E77" s="2"/>
      <c r="F77" s="9"/>
      <c r="G77" s="9"/>
      <c r="H77" s="9"/>
      <c r="I77" s="9" t="s">
        <v>1</v>
      </c>
      <c r="J77" s="9"/>
      <c r="K77" s="9"/>
      <c r="L77" s="9"/>
      <c r="M77" s="10"/>
    </row>
    <row r="78" spans="1:13" x14ac:dyDescent="0.25">
      <c r="A78" s="84" t="str">
        <f>A24</f>
        <v>Line 9</v>
      </c>
      <c r="B78" s="85" t="str">
        <f>B24</f>
        <v xml:space="preserve">Adjustments </v>
      </c>
      <c r="C78" s="76"/>
      <c r="D78" s="83" t="s">
        <v>10</v>
      </c>
      <c r="E78" s="11"/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0">
        <v>0</v>
      </c>
    </row>
    <row r="79" spans="1:13" x14ac:dyDescent="0.25">
      <c r="A79" s="84"/>
      <c r="B79" s="82" t="str">
        <f>B25</f>
        <v>***Provide Explanation on Last Page</v>
      </c>
      <c r="C79" s="76"/>
      <c r="D79" s="119"/>
      <c r="E79" s="11"/>
      <c r="F79" s="9"/>
      <c r="G79" s="9"/>
      <c r="H79" s="9"/>
      <c r="I79" s="9"/>
      <c r="J79" s="9"/>
      <c r="K79" s="9"/>
      <c r="L79" s="9"/>
      <c r="M79" s="10"/>
    </row>
    <row r="80" spans="1:13" x14ac:dyDescent="0.25">
      <c r="A80" s="86" t="str">
        <f>A26</f>
        <v>Line 10</v>
      </c>
      <c r="B80" s="87" t="e">
        <f>B26</f>
        <v>#N/A</v>
      </c>
      <c r="C80" s="87"/>
      <c r="D80" s="88" t="s">
        <v>16</v>
      </c>
      <c r="E80" s="4"/>
      <c r="F80" s="131">
        <f>ROUND(F74+F76+F78,2)</f>
        <v>0</v>
      </c>
      <c r="G80" s="131">
        <f t="shared" ref="G80:M80" si="10">ROUND(G74+G76+G78,2)</f>
        <v>0</v>
      </c>
      <c r="H80" s="131">
        <f t="shared" si="10"/>
        <v>0</v>
      </c>
      <c r="I80" s="131">
        <f t="shared" si="10"/>
        <v>0</v>
      </c>
      <c r="J80" s="131">
        <f t="shared" si="10"/>
        <v>0</v>
      </c>
      <c r="K80" s="131">
        <f t="shared" si="10"/>
        <v>0</v>
      </c>
      <c r="L80" s="131">
        <f t="shared" si="10"/>
        <v>0</v>
      </c>
      <c r="M80" s="132">
        <f t="shared" si="10"/>
        <v>0</v>
      </c>
    </row>
    <row r="81" spans="1:13" x14ac:dyDescent="0.25">
      <c r="A81" s="84"/>
      <c r="B81" s="76"/>
      <c r="C81" s="76"/>
      <c r="D81" s="119"/>
      <c r="E81" s="11"/>
      <c r="F81" s="9"/>
      <c r="G81" s="9"/>
      <c r="H81" s="9"/>
      <c r="I81" s="9"/>
      <c r="J81" s="9"/>
      <c r="K81" s="9"/>
      <c r="L81" s="9"/>
      <c r="M81" s="10"/>
    </row>
    <row r="82" spans="1:13" x14ac:dyDescent="0.25">
      <c r="A82" s="84" t="str">
        <f>A28</f>
        <v>Line 11</v>
      </c>
      <c r="B82" s="85" t="str">
        <f>B28</f>
        <v xml:space="preserve">Total Outstanding Loans </v>
      </c>
      <c r="C82" s="76"/>
      <c r="D82" s="83" t="s">
        <v>10</v>
      </c>
      <c r="E82" s="11"/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0">
        <v>0</v>
      </c>
    </row>
    <row r="83" spans="1:13" x14ac:dyDescent="0.25">
      <c r="A83" s="84"/>
      <c r="B83" s="82" t="str">
        <f>B29</f>
        <v>****Provide Explanation on Last Page</v>
      </c>
      <c r="C83" s="76"/>
      <c r="D83" s="119"/>
      <c r="E83" s="11"/>
      <c r="F83" s="9"/>
      <c r="G83" s="9"/>
      <c r="H83" s="9"/>
      <c r="I83" s="9"/>
      <c r="J83" s="9"/>
      <c r="K83" s="9"/>
      <c r="L83" s="9"/>
      <c r="M83" s="10"/>
    </row>
    <row r="84" spans="1:13" ht="16.5" thickBot="1" x14ac:dyDescent="0.3">
      <c r="A84" s="79" t="str">
        <f>A30</f>
        <v>Line 12</v>
      </c>
      <c r="B84" s="80" t="e">
        <f>B30</f>
        <v>#N/A</v>
      </c>
      <c r="C84" s="80"/>
      <c r="D84" s="81" t="s">
        <v>16</v>
      </c>
      <c r="E84" s="15"/>
      <c r="F84" s="135">
        <f>ROUND(F80+F82,2)</f>
        <v>0</v>
      </c>
      <c r="G84" s="135">
        <f t="shared" ref="G84:M84" si="11">ROUND(G80+G82,2)</f>
        <v>0</v>
      </c>
      <c r="H84" s="135">
        <f t="shared" si="11"/>
        <v>0</v>
      </c>
      <c r="I84" s="135">
        <f t="shared" si="11"/>
        <v>0</v>
      </c>
      <c r="J84" s="135">
        <f t="shared" si="11"/>
        <v>0</v>
      </c>
      <c r="K84" s="135">
        <f t="shared" si="11"/>
        <v>0</v>
      </c>
      <c r="L84" s="135">
        <f t="shared" si="11"/>
        <v>0</v>
      </c>
      <c r="M84" s="136">
        <f t="shared" si="11"/>
        <v>0</v>
      </c>
    </row>
    <row r="85" spans="1:13" ht="16.5" thickBo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9"/>
    </row>
    <row r="86" spans="1:13" ht="15.75" customHeight="1" x14ac:dyDescent="0.25">
      <c r="A86" s="125"/>
      <c r="B86" s="126"/>
      <c r="C86" s="126"/>
      <c r="D86" s="126"/>
      <c r="E86" s="175" t="s">
        <v>43</v>
      </c>
      <c r="F86" s="175" t="s">
        <v>44</v>
      </c>
      <c r="G86" s="175" t="s">
        <v>40</v>
      </c>
      <c r="H86" s="149" t="s">
        <v>41</v>
      </c>
      <c r="I86" s="150"/>
      <c r="J86" s="150"/>
      <c r="K86" s="150"/>
      <c r="L86" s="151"/>
      <c r="M86" s="201" t="s">
        <v>198</v>
      </c>
    </row>
    <row r="87" spans="1:13" ht="30" x14ac:dyDescent="0.25">
      <c r="A87" s="127"/>
      <c r="B87" s="128"/>
      <c r="C87" s="128"/>
      <c r="D87" s="128"/>
      <c r="E87" s="176"/>
      <c r="F87" s="176"/>
      <c r="G87" s="176"/>
      <c r="H87" s="115" t="s">
        <v>860</v>
      </c>
      <c r="I87" s="115" t="s">
        <v>861</v>
      </c>
      <c r="J87" s="115" t="s">
        <v>863</v>
      </c>
      <c r="K87" s="115" t="s">
        <v>45</v>
      </c>
      <c r="L87" s="115" t="s">
        <v>862</v>
      </c>
      <c r="M87" s="192"/>
    </row>
    <row r="88" spans="1:13" x14ac:dyDescent="0.25">
      <c r="A88" s="129"/>
      <c r="B88" s="130"/>
      <c r="C88" s="130"/>
      <c r="D88" s="130"/>
      <c r="E88" s="101">
        <v>31800</v>
      </c>
      <c r="F88" s="101">
        <v>31900</v>
      </c>
      <c r="G88" s="101">
        <v>32100</v>
      </c>
      <c r="H88" s="101">
        <v>41000</v>
      </c>
      <c r="I88" s="101">
        <v>41200</v>
      </c>
      <c r="J88" s="101">
        <v>41800</v>
      </c>
      <c r="K88" s="101">
        <v>42000</v>
      </c>
      <c r="L88" s="101">
        <v>43000</v>
      </c>
      <c r="M88" s="116"/>
    </row>
    <row r="89" spans="1:13" x14ac:dyDescent="0.25">
      <c r="A89" s="93" t="str">
        <f>A8</f>
        <v>Line 1</v>
      </c>
      <c r="B89" s="94" t="str">
        <f>B8</f>
        <v>Total Cash Balance 06/30/2022</v>
      </c>
      <c r="C89" s="94"/>
      <c r="D89" s="88" t="s">
        <v>10</v>
      </c>
      <c r="E89" s="6">
        <v>0</v>
      </c>
      <c r="F89" s="6">
        <v>0</v>
      </c>
      <c r="G89" s="6">
        <v>0</v>
      </c>
      <c r="H89" s="6">
        <v>0</v>
      </c>
      <c r="I89" s="117">
        <v>0</v>
      </c>
      <c r="J89" s="117">
        <v>0</v>
      </c>
      <c r="K89" s="6">
        <v>0</v>
      </c>
      <c r="L89" s="6">
        <v>0</v>
      </c>
      <c r="M89" s="132">
        <f>ROUND(SUM(E8:M8)+SUM(F35:M35)+SUM(F62:M62)+SUM(E89:L89),2)</f>
        <v>0</v>
      </c>
    </row>
    <row r="90" spans="1:13" x14ac:dyDescent="0.25">
      <c r="A90" s="84"/>
      <c r="B90" s="78"/>
      <c r="C90" s="78"/>
      <c r="D90" s="78"/>
      <c r="E90" s="9"/>
      <c r="F90" s="9"/>
      <c r="G90" s="9"/>
      <c r="H90" s="9"/>
      <c r="I90" s="9"/>
      <c r="J90" s="9"/>
      <c r="K90" s="9"/>
      <c r="L90" s="9"/>
      <c r="M90" s="10"/>
    </row>
    <row r="91" spans="1:13" x14ac:dyDescent="0.25">
      <c r="A91" s="84" t="str">
        <f>A10</f>
        <v>Line 2</v>
      </c>
      <c r="B91" s="85" t="str">
        <f>B10</f>
        <v>Current Year Revenue to Date</v>
      </c>
      <c r="C91" s="76"/>
      <c r="D91" s="83" t="s">
        <v>12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37">
        <f>ROUND(SUM(E10:M10)+SUM(F37:M37)+SUM(F64:M64)+SUM(E91:L91),2)</f>
        <v>0</v>
      </c>
    </row>
    <row r="92" spans="1:13" x14ac:dyDescent="0.25">
      <c r="A92" s="84"/>
      <c r="B92" s="82" t="str">
        <f>B11</f>
        <v>(Per OBMS Actuals Revenue Report)</v>
      </c>
      <c r="C92" s="78"/>
      <c r="D92" s="78"/>
      <c r="E92" s="9"/>
      <c r="F92" s="9"/>
      <c r="G92" s="9"/>
      <c r="H92" s="9"/>
      <c r="I92" s="9"/>
      <c r="J92" s="9"/>
      <c r="K92" s="9"/>
      <c r="L92" s="9"/>
      <c r="M92" s="10"/>
    </row>
    <row r="93" spans="1:13" x14ac:dyDescent="0.25">
      <c r="A93" s="84" t="str">
        <f>A12</f>
        <v>Line 3</v>
      </c>
      <c r="B93" s="76" t="str">
        <f>B12</f>
        <v xml:space="preserve">Prior Year Warrants Voided </v>
      </c>
      <c r="C93" s="76"/>
      <c r="D93" s="83" t="s">
        <v>12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37">
        <f>ROUND(SUM(E12:M12)+SUM(F39:M39)+SUM(F66:M66)+SUM(E93:L93),2)</f>
        <v>0</v>
      </c>
    </row>
    <row r="94" spans="1:13" x14ac:dyDescent="0.25">
      <c r="A94" s="84"/>
      <c r="B94" s="78"/>
      <c r="C94" s="78"/>
      <c r="D94" s="78"/>
      <c r="E94" s="9"/>
      <c r="F94" s="9"/>
      <c r="G94" s="9"/>
      <c r="H94" s="9"/>
      <c r="I94" s="9"/>
      <c r="J94" s="9"/>
      <c r="K94" s="9"/>
      <c r="L94" s="9"/>
      <c r="M94" s="10"/>
    </row>
    <row r="95" spans="1:13" x14ac:dyDescent="0.25">
      <c r="A95" s="86" t="str">
        <f>A14</f>
        <v>Line 4</v>
      </c>
      <c r="B95" s="87" t="e">
        <f>B14</f>
        <v>#N/A</v>
      </c>
      <c r="C95" s="87"/>
      <c r="D95" s="88" t="s">
        <v>16</v>
      </c>
      <c r="E95" s="131">
        <f>ROUND(E89+E91+E93,2)</f>
        <v>0</v>
      </c>
      <c r="F95" s="131">
        <f t="shared" ref="F95:L95" si="12">ROUND(F89+F91+F93,2)</f>
        <v>0</v>
      </c>
      <c r="G95" s="131">
        <f t="shared" si="12"/>
        <v>0</v>
      </c>
      <c r="H95" s="131">
        <f t="shared" si="12"/>
        <v>0</v>
      </c>
      <c r="I95" s="131">
        <f t="shared" si="12"/>
        <v>0</v>
      </c>
      <c r="J95" s="131">
        <f t="shared" si="12"/>
        <v>0</v>
      </c>
      <c r="K95" s="131">
        <f t="shared" si="12"/>
        <v>0</v>
      </c>
      <c r="L95" s="131">
        <f t="shared" si="12"/>
        <v>0</v>
      </c>
      <c r="M95" s="132">
        <f>ROUND(SUM(E14:M14)+SUM(F41:M41)+SUM(F68:M68)+SUM(E95:L95),2)</f>
        <v>0</v>
      </c>
    </row>
    <row r="96" spans="1:13" x14ac:dyDescent="0.25">
      <c r="A96" s="84"/>
      <c r="B96" s="78"/>
      <c r="C96" s="78"/>
      <c r="D96" s="78"/>
      <c r="E96" s="9"/>
      <c r="F96" s="9"/>
      <c r="G96" s="9"/>
      <c r="H96" s="9"/>
      <c r="I96" s="9"/>
      <c r="J96" s="9"/>
      <c r="K96" s="9"/>
      <c r="L96" s="9"/>
      <c r="M96" s="10"/>
    </row>
    <row r="97" spans="1:13" x14ac:dyDescent="0.25">
      <c r="A97" s="84" t="str">
        <f>A16</f>
        <v>Line 5</v>
      </c>
      <c r="B97" s="85" t="str">
        <f>B16</f>
        <v>Current Year Expenditures to Date</v>
      </c>
      <c r="C97" s="76"/>
      <c r="D97" s="83" t="s">
        <v>19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138">
        <f>ROUND(SUM(E16:M16)+SUM(F43:M43)+SUM(F70:M70)+SUM(E97:L97),2)</f>
        <v>0</v>
      </c>
    </row>
    <row r="98" spans="1:13" x14ac:dyDescent="0.25">
      <c r="A98" s="84"/>
      <c r="B98" s="82" t="str">
        <f>B17</f>
        <v>(Per OMBS Actuals Expenditure Report)</v>
      </c>
      <c r="C98" s="78"/>
      <c r="D98" s="78"/>
      <c r="E98" s="9"/>
      <c r="F98" s="9"/>
      <c r="G98" s="9"/>
      <c r="H98" s="9"/>
      <c r="I98" s="9"/>
      <c r="J98" s="9"/>
      <c r="K98" s="9"/>
      <c r="L98" s="9"/>
      <c r="M98" s="10"/>
    </row>
    <row r="99" spans="1:13" x14ac:dyDescent="0.25">
      <c r="A99" s="84" t="str">
        <f>A18</f>
        <v>Line 6</v>
      </c>
      <c r="B99" s="85" t="str">
        <f>B18</f>
        <v>Permanent Cash Transfers/Reversions</v>
      </c>
      <c r="C99" s="76"/>
      <c r="D99" s="83" t="s">
        <v>10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37">
        <f>ROUND(SUM(E18:M18)+SUM(F45:M45)+SUM(F72:M72)+SUM(E99:L99),2)</f>
        <v>0</v>
      </c>
    </row>
    <row r="100" spans="1:13" x14ac:dyDescent="0.25">
      <c r="A100" s="84"/>
      <c r="B100" s="82" t="str">
        <f>B19</f>
        <v>*Provide Explanation on Last Page</v>
      </c>
      <c r="C100" s="78"/>
      <c r="D100" s="78"/>
      <c r="E100" s="9"/>
      <c r="F100" s="9"/>
      <c r="G100" s="9"/>
      <c r="H100" s="9"/>
      <c r="I100" s="9"/>
      <c r="J100" s="9"/>
      <c r="K100" s="9"/>
      <c r="L100" s="9"/>
      <c r="M100" s="10"/>
    </row>
    <row r="101" spans="1:13" x14ac:dyDescent="0.25">
      <c r="A101" s="90" t="str">
        <f>A20</f>
        <v>Line 7</v>
      </c>
      <c r="B101" s="91" t="str">
        <f>B20</f>
        <v xml:space="preserve">Total Cash </v>
      </c>
      <c r="C101" s="91"/>
      <c r="D101" s="92" t="s">
        <v>16</v>
      </c>
      <c r="E101" s="133">
        <f>ROUND(E95+E97+E99,2)</f>
        <v>0</v>
      </c>
      <c r="F101" s="133">
        <f t="shared" ref="F101:L101" si="13">ROUND(F95+F97+F99,2)</f>
        <v>0</v>
      </c>
      <c r="G101" s="133">
        <f t="shared" si="13"/>
        <v>0</v>
      </c>
      <c r="H101" s="133">
        <f t="shared" si="13"/>
        <v>0</v>
      </c>
      <c r="I101" s="133">
        <f t="shared" si="13"/>
        <v>0</v>
      </c>
      <c r="J101" s="133">
        <f t="shared" si="13"/>
        <v>0</v>
      </c>
      <c r="K101" s="133">
        <f t="shared" si="13"/>
        <v>0</v>
      </c>
      <c r="L101" s="133">
        <f t="shared" si="13"/>
        <v>0</v>
      </c>
      <c r="M101" s="134">
        <f>ROUND(SUM(E20:M20)+SUM(F47:M47)+SUM(F74:M74)+SUM(E101:L101),2)</f>
        <v>0</v>
      </c>
    </row>
    <row r="102" spans="1:13" x14ac:dyDescent="0.25">
      <c r="A102" s="89" t="str">
        <f>A21</f>
        <v>Other Reconciling Items</v>
      </c>
      <c r="B102" s="78"/>
      <c r="C102" s="124"/>
      <c r="D102" s="78"/>
      <c r="E102" s="9"/>
      <c r="F102" s="9"/>
      <c r="G102" s="9"/>
      <c r="H102" s="9"/>
      <c r="I102" s="9"/>
      <c r="J102" s="9"/>
      <c r="K102" s="9"/>
      <c r="L102" s="9"/>
      <c r="M102" s="10"/>
    </row>
    <row r="103" spans="1:13" x14ac:dyDescent="0.25">
      <c r="A103" s="84" t="str">
        <f>A22</f>
        <v>Line 8</v>
      </c>
      <c r="B103" s="85" t="str">
        <f>B22</f>
        <v xml:space="preserve">Payroll Liabilities </v>
      </c>
      <c r="C103" s="76"/>
      <c r="D103" s="83" t="s">
        <v>12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37">
        <f>ROUND(SUM(E22:M22)+SUM(F49:M49)+SUM(F76:M76)+SUM(E103:L103),2)</f>
        <v>0</v>
      </c>
    </row>
    <row r="104" spans="1:13" x14ac:dyDescent="0.25">
      <c r="A104" s="84"/>
      <c r="B104" s="82" t="str">
        <f>B23</f>
        <v>**Provide Explanation on Last Page</v>
      </c>
      <c r="C104" s="78"/>
      <c r="D104" s="78"/>
      <c r="E104" s="9"/>
      <c r="F104" s="9"/>
      <c r="G104" s="9"/>
      <c r="H104" s="9"/>
      <c r="I104" s="9"/>
      <c r="J104" s="9"/>
      <c r="K104" s="9"/>
      <c r="L104" s="9"/>
      <c r="M104" s="10"/>
    </row>
    <row r="105" spans="1:13" x14ac:dyDescent="0.25">
      <c r="A105" s="84" t="str">
        <f>A24</f>
        <v>Line 9</v>
      </c>
      <c r="B105" s="85" t="str">
        <f>B24</f>
        <v xml:space="preserve">Adjustments </v>
      </c>
      <c r="C105" s="76"/>
      <c r="D105" s="83" t="s">
        <v>10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37">
        <f>ROUND(SUM(E24:M24)+SUM(F51:M51)+SUM(F78:M78)+SUM(E105:L105),2)</f>
        <v>0</v>
      </c>
    </row>
    <row r="106" spans="1:13" x14ac:dyDescent="0.25">
      <c r="A106" s="84"/>
      <c r="B106" s="82" t="str">
        <f>B25</f>
        <v>***Provide Explanation on Last Page</v>
      </c>
      <c r="C106" s="76"/>
      <c r="D106" s="119"/>
      <c r="E106" s="9"/>
      <c r="F106" s="9"/>
      <c r="G106" s="9"/>
      <c r="H106" s="9"/>
      <c r="I106" s="9"/>
      <c r="J106" s="9"/>
      <c r="K106" s="9"/>
      <c r="L106" s="9"/>
      <c r="M106" s="10"/>
    </row>
    <row r="107" spans="1:13" x14ac:dyDescent="0.25">
      <c r="A107" s="86" t="str">
        <f>A26</f>
        <v>Line 10</v>
      </c>
      <c r="B107" s="87" t="e">
        <f>B26</f>
        <v>#N/A</v>
      </c>
      <c r="C107" s="87"/>
      <c r="D107" s="88" t="s">
        <v>16</v>
      </c>
      <c r="E107" s="131">
        <f>ROUND(E101+E103+E105,2)</f>
        <v>0</v>
      </c>
      <c r="F107" s="131">
        <f t="shared" ref="F107:L107" si="14">ROUND(F101+F103+F105,2)</f>
        <v>0</v>
      </c>
      <c r="G107" s="131">
        <f t="shared" si="14"/>
        <v>0</v>
      </c>
      <c r="H107" s="131">
        <f t="shared" si="14"/>
        <v>0</v>
      </c>
      <c r="I107" s="131">
        <f t="shared" si="14"/>
        <v>0</v>
      </c>
      <c r="J107" s="131">
        <f t="shared" si="14"/>
        <v>0</v>
      </c>
      <c r="K107" s="131">
        <f t="shared" si="14"/>
        <v>0</v>
      </c>
      <c r="L107" s="131">
        <f t="shared" si="14"/>
        <v>0</v>
      </c>
      <c r="M107" s="132">
        <f>ROUND(SUM(E26:M26)+SUM(F53:M53)+SUM(F80:M80)+SUM(E107:L107),2)</f>
        <v>0</v>
      </c>
    </row>
    <row r="108" spans="1:13" x14ac:dyDescent="0.25">
      <c r="A108" s="84"/>
      <c r="B108" s="76"/>
      <c r="C108" s="76"/>
      <c r="D108" s="119"/>
      <c r="E108" s="9"/>
      <c r="F108" s="9"/>
      <c r="G108" s="9"/>
      <c r="H108" s="9"/>
      <c r="I108" s="9"/>
      <c r="J108" s="9"/>
      <c r="K108" s="9"/>
      <c r="L108" s="9"/>
      <c r="M108" s="10"/>
    </row>
    <row r="109" spans="1:13" x14ac:dyDescent="0.25">
      <c r="A109" s="84" t="str">
        <f>A28</f>
        <v>Line 11</v>
      </c>
      <c r="B109" s="85" t="str">
        <f>B28</f>
        <v xml:space="preserve">Total Outstanding Loans </v>
      </c>
      <c r="C109" s="76"/>
      <c r="D109" s="83" t="s">
        <v>10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37">
        <f>ROUND(SUM(E28:M28)+SUM(F55:M55)+SUM(F82:M82)+SUM(E109:L109),2)</f>
        <v>0</v>
      </c>
    </row>
    <row r="110" spans="1:13" x14ac:dyDescent="0.25">
      <c r="A110" s="84"/>
      <c r="B110" s="82" t="str">
        <f>B29</f>
        <v>****Provide Explanation on Last Page</v>
      </c>
      <c r="C110" s="76"/>
      <c r="D110" s="119"/>
      <c r="E110" s="9"/>
      <c r="F110" s="9"/>
      <c r="G110" s="9"/>
      <c r="H110" s="9"/>
      <c r="I110" s="9"/>
      <c r="J110" s="9"/>
      <c r="K110" s="9"/>
      <c r="L110" s="9"/>
      <c r="M110" s="20"/>
    </row>
    <row r="111" spans="1:13" ht="16.5" thickBot="1" x14ac:dyDescent="0.3">
      <c r="A111" s="79" t="str">
        <f>A30</f>
        <v>Line 12</v>
      </c>
      <c r="B111" s="80" t="e">
        <f>B30</f>
        <v>#N/A</v>
      </c>
      <c r="C111" s="80"/>
      <c r="D111" s="81" t="s">
        <v>16</v>
      </c>
      <c r="E111" s="135">
        <f>ROUND(E107+E109,2)</f>
        <v>0</v>
      </c>
      <c r="F111" s="135">
        <f t="shared" ref="F111:L111" si="15">ROUND(F107+F109,2)</f>
        <v>0</v>
      </c>
      <c r="G111" s="135">
        <f t="shared" si="15"/>
        <v>0</v>
      </c>
      <c r="H111" s="135">
        <f t="shared" si="15"/>
        <v>0</v>
      </c>
      <c r="I111" s="135">
        <f t="shared" si="15"/>
        <v>0</v>
      </c>
      <c r="J111" s="135">
        <f t="shared" si="15"/>
        <v>0</v>
      </c>
      <c r="K111" s="135">
        <f t="shared" si="15"/>
        <v>0</v>
      </c>
      <c r="L111" s="135">
        <f t="shared" si="15"/>
        <v>0</v>
      </c>
      <c r="M111" s="136">
        <f>ROUND(SUM(E30:M30)+SUM(F57:M57)+SUM(F84:M84)+SUM(E111:L111),2)</f>
        <v>0</v>
      </c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9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9"/>
    </row>
    <row r="114" spans="1:13" x14ac:dyDescent="0.25">
      <c r="A114" s="83" t="s">
        <v>46</v>
      </c>
      <c r="B114" s="174" t="s">
        <v>47</v>
      </c>
      <c r="C114" s="174"/>
      <c r="D114" s="83" t="s">
        <v>48</v>
      </c>
      <c r="E114" s="83" t="s">
        <v>49</v>
      </c>
      <c r="F114" s="83" t="s">
        <v>50</v>
      </c>
      <c r="G114" s="83" t="s">
        <v>51</v>
      </c>
      <c r="H114" s="83" t="s">
        <v>52</v>
      </c>
      <c r="I114" s="83" t="s">
        <v>53</v>
      </c>
      <c r="J114" s="83" t="s">
        <v>54</v>
      </c>
      <c r="K114" s="83" t="s">
        <v>55</v>
      </c>
      <c r="L114" s="2"/>
      <c r="M114" s="39"/>
    </row>
    <row r="115" spans="1:13" ht="16.5" thickBot="1" x14ac:dyDescent="0.3">
      <c r="A115" s="2"/>
      <c r="B115" s="2"/>
      <c r="C115" s="18"/>
      <c r="D115" s="36"/>
      <c r="E115" s="83" t="s">
        <v>12</v>
      </c>
      <c r="F115" s="83" t="s">
        <v>12</v>
      </c>
      <c r="G115" s="83" t="s">
        <v>10</v>
      </c>
      <c r="H115" s="83" t="s">
        <v>10</v>
      </c>
      <c r="I115" s="83" t="s">
        <v>12</v>
      </c>
      <c r="J115" s="95"/>
      <c r="K115" s="83" t="s">
        <v>10</v>
      </c>
      <c r="L115" s="2"/>
      <c r="M115" s="39"/>
    </row>
    <row r="116" spans="1:13" x14ac:dyDescent="0.25">
      <c r="A116" s="2"/>
      <c r="B116" s="205" t="s">
        <v>56</v>
      </c>
      <c r="C116" s="206"/>
      <c r="D116" s="206"/>
      <c r="E116" s="206"/>
      <c r="F116" s="207"/>
      <c r="G116" s="161" t="s">
        <v>57</v>
      </c>
      <c r="H116" s="162"/>
      <c r="I116" s="201" t="s">
        <v>58</v>
      </c>
      <c r="J116" s="188" t="s">
        <v>64</v>
      </c>
      <c r="K116" s="190">
        <f>ROUND(M111,2)</f>
        <v>0</v>
      </c>
      <c r="L116" s="2"/>
      <c r="M116" s="39"/>
    </row>
    <row r="117" spans="1:13" ht="16.5" thickBot="1" x14ac:dyDescent="0.3">
      <c r="A117" s="2"/>
      <c r="B117" s="172"/>
      <c r="C117" s="208"/>
      <c r="D117" s="208"/>
      <c r="E117" s="208"/>
      <c r="F117" s="173"/>
      <c r="G117" s="163"/>
      <c r="H117" s="164"/>
      <c r="I117" s="192"/>
      <c r="J117" s="189"/>
      <c r="K117" s="191"/>
      <c r="L117" s="2"/>
      <c r="M117" s="39"/>
    </row>
    <row r="118" spans="1:13" x14ac:dyDescent="0.25">
      <c r="A118" s="2"/>
      <c r="B118" s="168" t="s">
        <v>199</v>
      </c>
      <c r="C118" s="169"/>
      <c r="D118" s="165" t="s">
        <v>61</v>
      </c>
      <c r="E118" s="165" t="s">
        <v>195</v>
      </c>
      <c r="F118" s="165" t="s">
        <v>196</v>
      </c>
      <c r="G118" s="202" t="s">
        <v>59</v>
      </c>
      <c r="H118" s="202" t="s">
        <v>60</v>
      </c>
      <c r="I118" s="192"/>
      <c r="J118" s="194" t="s">
        <v>96</v>
      </c>
      <c r="K118" s="192" t="s">
        <v>92</v>
      </c>
      <c r="L118" s="2"/>
      <c r="M118" s="39"/>
    </row>
    <row r="119" spans="1:13" x14ac:dyDescent="0.25">
      <c r="A119" s="2"/>
      <c r="B119" s="170"/>
      <c r="C119" s="171"/>
      <c r="D119" s="166"/>
      <c r="E119" s="166"/>
      <c r="F119" s="166"/>
      <c r="G119" s="204"/>
      <c r="H119" s="204"/>
      <c r="I119" s="192"/>
      <c r="J119" s="194"/>
      <c r="K119" s="192"/>
      <c r="L119" s="2"/>
      <c r="M119" s="39"/>
    </row>
    <row r="120" spans="1:13" x14ac:dyDescent="0.25">
      <c r="A120" s="2"/>
      <c r="B120" s="170"/>
      <c r="C120" s="171"/>
      <c r="D120" s="166"/>
      <c r="E120" s="166"/>
      <c r="F120" s="166"/>
      <c r="G120" s="203"/>
      <c r="H120" s="203"/>
      <c r="I120" s="192"/>
      <c r="J120" s="194"/>
      <c r="K120" s="192"/>
      <c r="L120" s="2"/>
      <c r="M120" s="39"/>
    </row>
    <row r="121" spans="1:13" x14ac:dyDescent="0.25">
      <c r="A121" s="2"/>
      <c r="B121" s="170"/>
      <c r="C121" s="171"/>
      <c r="D121" s="166"/>
      <c r="E121" s="166"/>
      <c r="F121" s="166"/>
      <c r="G121" s="202" t="s">
        <v>62</v>
      </c>
      <c r="H121" s="202" t="s">
        <v>63</v>
      </c>
      <c r="I121" s="192"/>
      <c r="J121" s="194"/>
      <c r="K121" s="192"/>
      <c r="L121" s="2"/>
      <c r="M121" s="39"/>
    </row>
    <row r="122" spans="1:13" x14ac:dyDescent="0.25">
      <c r="A122" s="2"/>
      <c r="B122" s="172"/>
      <c r="C122" s="173"/>
      <c r="D122" s="167"/>
      <c r="E122" s="167"/>
      <c r="F122" s="167"/>
      <c r="G122" s="203"/>
      <c r="H122" s="203"/>
      <c r="I122" s="193"/>
      <c r="J122" s="164"/>
      <c r="K122" s="193"/>
      <c r="L122" s="2"/>
      <c r="M122" s="39"/>
    </row>
    <row r="123" spans="1:13" x14ac:dyDescent="0.25">
      <c r="A123" s="2"/>
      <c r="B123" s="21"/>
      <c r="C123" s="22"/>
      <c r="D123" s="22"/>
      <c r="E123" s="23">
        <v>0</v>
      </c>
      <c r="F123" s="23">
        <v>0</v>
      </c>
      <c r="G123" s="23">
        <v>0</v>
      </c>
      <c r="H123" s="23">
        <v>0</v>
      </c>
      <c r="I123" s="96">
        <f>ROUND(SUM(E123:H123),2)</f>
        <v>0</v>
      </c>
      <c r="J123" s="24"/>
      <c r="K123" s="25">
        <v>0</v>
      </c>
      <c r="L123" s="2"/>
      <c r="M123" s="39"/>
    </row>
    <row r="124" spans="1:13" x14ac:dyDescent="0.25">
      <c r="A124" s="2"/>
      <c r="B124" s="21"/>
      <c r="C124" s="22"/>
      <c r="D124" s="22"/>
      <c r="E124" s="23">
        <v>0</v>
      </c>
      <c r="F124" s="23">
        <v>0</v>
      </c>
      <c r="G124" s="23">
        <v>0</v>
      </c>
      <c r="H124" s="23">
        <v>0</v>
      </c>
      <c r="I124" s="96">
        <f t="shared" ref="I124:I142" si="16">ROUND(SUM(E124:H124),2)</f>
        <v>0</v>
      </c>
      <c r="J124" s="24"/>
      <c r="K124" s="25">
        <v>0</v>
      </c>
      <c r="L124" s="2"/>
      <c r="M124" s="39"/>
    </row>
    <row r="125" spans="1:13" x14ac:dyDescent="0.25">
      <c r="A125" s="2"/>
      <c r="B125" s="21"/>
      <c r="C125" s="22"/>
      <c r="D125" s="22"/>
      <c r="E125" s="23">
        <v>0</v>
      </c>
      <c r="F125" s="23">
        <v>0</v>
      </c>
      <c r="G125" s="23">
        <v>0</v>
      </c>
      <c r="H125" s="23">
        <v>0</v>
      </c>
      <c r="I125" s="96">
        <f t="shared" si="16"/>
        <v>0</v>
      </c>
      <c r="J125" s="24"/>
      <c r="K125" s="25">
        <v>0</v>
      </c>
      <c r="L125" s="2"/>
      <c r="M125" s="39"/>
    </row>
    <row r="126" spans="1:13" x14ac:dyDescent="0.25">
      <c r="A126" s="2"/>
      <c r="B126" s="21"/>
      <c r="C126" s="22"/>
      <c r="D126" s="22"/>
      <c r="E126" s="23">
        <v>0</v>
      </c>
      <c r="F126" s="23">
        <v>0</v>
      </c>
      <c r="G126" s="23">
        <v>0</v>
      </c>
      <c r="H126" s="23">
        <v>0</v>
      </c>
      <c r="I126" s="96">
        <f t="shared" si="16"/>
        <v>0</v>
      </c>
      <c r="J126" s="24"/>
      <c r="K126" s="25">
        <v>0</v>
      </c>
      <c r="L126" s="2"/>
      <c r="M126" s="39"/>
    </row>
    <row r="127" spans="1:13" x14ac:dyDescent="0.25">
      <c r="A127" s="2"/>
      <c r="B127" s="21"/>
      <c r="C127" s="22"/>
      <c r="D127" s="22"/>
      <c r="E127" s="23">
        <v>0</v>
      </c>
      <c r="F127" s="23">
        <v>0</v>
      </c>
      <c r="G127" s="23">
        <v>0</v>
      </c>
      <c r="H127" s="23">
        <v>0</v>
      </c>
      <c r="I127" s="96">
        <f t="shared" si="16"/>
        <v>0</v>
      </c>
      <c r="J127" s="24"/>
      <c r="K127" s="25">
        <v>0</v>
      </c>
      <c r="L127" s="2"/>
      <c r="M127" s="39"/>
    </row>
    <row r="128" spans="1:13" x14ac:dyDescent="0.25">
      <c r="A128" s="2"/>
      <c r="B128" s="21"/>
      <c r="C128" s="22"/>
      <c r="D128" s="22"/>
      <c r="E128" s="23">
        <v>0</v>
      </c>
      <c r="F128" s="23">
        <v>0</v>
      </c>
      <c r="G128" s="23">
        <v>0</v>
      </c>
      <c r="H128" s="23">
        <v>0</v>
      </c>
      <c r="I128" s="96">
        <f t="shared" si="16"/>
        <v>0</v>
      </c>
      <c r="J128" s="24"/>
      <c r="K128" s="25">
        <v>0</v>
      </c>
      <c r="L128" s="2"/>
      <c r="M128" s="39"/>
    </row>
    <row r="129" spans="1:13" x14ac:dyDescent="0.25">
      <c r="A129" s="2"/>
      <c r="B129" s="21"/>
      <c r="C129" s="22"/>
      <c r="D129" s="22"/>
      <c r="E129" s="23">
        <v>0</v>
      </c>
      <c r="F129" s="23">
        <v>0</v>
      </c>
      <c r="G129" s="23">
        <v>0</v>
      </c>
      <c r="H129" s="23">
        <v>0</v>
      </c>
      <c r="I129" s="96">
        <f t="shared" si="16"/>
        <v>0</v>
      </c>
      <c r="J129" s="24"/>
      <c r="K129" s="25">
        <v>0</v>
      </c>
      <c r="L129" s="2"/>
      <c r="M129" s="39"/>
    </row>
    <row r="130" spans="1:13" x14ac:dyDescent="0.25">
      <c r="A130" s="2"/>
      <c r="B130" s="21"/>
      <c r="C130" s="22"/>
      <c r="D130" s="22"/>
      <c r="E130" s="23">
        <v>0</v>
      </c>
      <c r="F130" s="23">
        <v>0</v>
      </c>
      <c r="G130" s="23">
        <v>0</v>
      </c>
      <c r="H130" s="23">
        <v>0</v>
      </c>
      <c r="I130" s="96">
        <f t="shared" si="16"/>
        <v>0</v>
      </c>
      <c r="J130" s="24"/>
      <c r="K130" s="25">
        <v>0</v>
      </c>
      <c r="L130" s="2"/>
      <c r="M130" s="39"/>
    </row>
    <row r="131" spans="1:13" x14ac:dyDescent="0.25">
      <c r="A131" s="2"/>
      <c r="B131" s="21"/>
      <c r="C131" s="22"/>
      <c r="D131" s="22"/>
      <c r="E131" s="23">
        <v>0</v>
      </c>
      <c r="F131" s="23">
        <v>0</v>
      </c>
      <c r="G131" s="23">
        <v>0</v>
      </c>
      <c r="H131" s="23">
        <v>0</v>
      </c>
      <c r="I131" s="96">
        <f t="shared" si="16"/>
        <v>0</v>
      </c>
      <c r="J131" s="24"/>
      <c r="K131" s="25">
        <v>0</v>
      </c>
      <c r="L131" s="2"/>
      <c r="M131" s="39"/>
    </row>
    <row r="132" spans="1:13" x14ac:dyDescent="0.25">
      <c r="A132" s="2"/>
      <c r="B132" s="21"/>
      <c r="C132" s="22"/>
      <c r="D132" s="22"/>
      <c r="E132" s="23">
        <v>0</v>
      </c>
      <c r="F132" s="23">
        <v>0</v>
      </c>
      <c r="G132" s="23">
        <v>0</v>
      </c>
      <c r="H132" s="23">
        <v>0</v>
      </c>
      <c r="I132" s="96">
        <f t="shared" si="16"/>
        <v>0</v>
      </c>
      <c r="J132" s="24"/>
      <c r="K132" s="25">
        <v>0</v>
      </c>
      <c r="L132" s="2"/>
      <c r="M132" s="39"/>
    </row>
    <row r="133" spans="1:13" x14ac:dyDescent="0.25">
      <c r="A133" s="2"/>
      <c r="B133" s="21"/>
      <c r="C133" s="22"/>
      <c r="D133" s="22"/>
      <c r="E133" s="23">
        <v>0</v>
      </c>
      <c r="F133" s="23">
        <v>0</v>
      </c>
      <c r="G133" s="23">
        <v>0</v>
      </c>
      <c r="H133" s="23">
        <v>0</v>
      </c>
      <c r="I133" s="96">
        <f t="shared" si="16"/>
        <v>0</v>
      </c>
      <c r="J133" s="24"/>
      <c r="K133" s="25">
        <v>0</v>
      </c>
      <c r="L133" s="2"/>
      <c r="M133" s="39"/>
    </row>
    <row r="134" spans="1:13" x14ac:dyDescent="0.25">
      <c r="A134" s="2"/>
      <c r="B134" s="21"/>
      <c r="C134" s="22"/>
      <c r="D134" s="22"/>
      <c r="E134" s="23">
        <v>0</v>
      </c>
      <c r="F134" s="23">
        <v>0</v>
      </c>
      <c r="G134" s="23">
        <v>0</v>
      </c>
      <c r="H134" s="23">
        <v>0</v>
      </c>
      <c r="I134" s="96">
        <f t="shared" si="16"/>
        <v>0</v>
      </c>
      <c r="J134" s="24"/>
      <c r="K134" s="25">
        <v>0</v>
      </c>
      <c r="L134" s="2"/>
      <c r="M134" s="39"/>
    </row>
    <row r="135" spans="1:13" x14ac:dyDescent="0.25">
      <c r="A135" s="2"/>
      <c r="B135" s="21"/>
      <c r="C135" s="22"/>
      <c r="D135" s="22"/>
      <c r="E135" s="23">
        <v>0</v>
      </c>
      <c r="F135" s="23">
        <v>0</v>
      </c>
      <c r="G135" s="23">
        <v>0</v>
      </c>
      <c r="H135" s="23">
        <v>0</v>
      </c>
      <c r="I135" s="96">
        <f t="shared" si="16"/>
        <v>0</v>
      </c>
      <c r="J135" s="24"/>
      <c r="K135" s="25">
        <v>0</v>
      </c>
      <c r="L135" s="2"/>
      <c r="M135" s="39"/>
    </row>
    <row r="136" spans="1:13" x14ac:dyDescent="0.25">
      <c r="A136" s="2"/>
      <c r="B136" s="21"/>
      <c r="C136" s="22"/>
      <c r="D136" s="22"/>
      <c r="E136" s="23">
        <v>0</v>
      </c>
      <c r="F136" s="23">
        <v>0</v>
      </c>
      <c r="G136" s="23">
        <v>0</v>
      </c>
      <c r="H136" s="23">
        <v>0</v>
      </c>
      <c r="I136" s="96">
        <f t="shared" si="16"/>
        <v>0</v>
      </c>
      <c r="J136" s="24"/>
      <c r="K136" s="25">
        <v>0</v>
      </c>
      <c r="L136" s="2"/>
      <c r="M136" s="39"/>
    </row>
    <row r="137" spans="1:13" x14ac:dyDescent="0.25">
      <c r="A137" s="2"/>
      <c r="B137" s="21"/>
      <c r="C137" s="22"/>
      <c r="D137" s="22"/>
      <c r="E137" s="23">
        <v>0</v>
      </c>
      <c r="F137" s="23">
        <v>0</v>
      </c>
      <c r="G137" s="23">
        <v>0</v>
      </c>
      <c r="H137" s="23">
        <v>0</v>
      </c>
      <c r="I137" s="96">
        <f t="shared" si="16"/>
        <v>0</v>
      </c>
      <c r="J137" s="24"/>
      <c r="K137" s="25">
        <v>0</v>
      </c>
      <c r="L137" s="2"/>
      <c r="M137" s="39"/>
    </row>
    <row r="138" spans="1:13" x14ac:dyDescent="0.25">
      <c r="A138" s="2"/>
      <c r="B138" s="21"/>
      <c r="C138" s="22"/>
      <c r="D138" s="22"/>
      <c r="E138" s="23">
        <v>0</v>
      </c>
      <c r="F138" s="23">
        <v>0</v>
      </c>
      <c r="G138" s="23">
        <v>0</v>
      </c>
      <c r="H138" s="23">
        <v>0</v>
      </c>
      <c r="I138" s="96">
        <f t="shared" si="16"/>
        <v>0</v>
      </c>
      <c r="J138" s="24"/>
      <c r="K138" s="25">
        <v>0</v>
      </c>
      <c r="L138" s="2"/>
      <c r="M138" s="39"/>
    </row>
    <row r="139" spans="1:13" x14ac:dyDescent="0.25">
      <c r="A139" s="2"/>
      <c r="B139" s="21"/>
      <c r="C139" s="22"/>
      <c r="D139" s="22"/>
      <c r="E139" s="23">
        <v>0</v>
      </c>
      <c r="F139" s="23">
        <v>0</v>
      </c>
      <c r="G139" s="23">
        <v>0</v>
      </c>
      <c r="H139" s="23">
        <v>0</v>
      </c>
      <c r="I139" s="96">
        <f t="shared" si="16"/>
        <v>0</v>
      </c>
      <c r="J139" s="24"/>
      <c r="K139" s="25">
        <v>0</v>
      </c>
      <c r="L139" s="2"/>
      <c r="M139" s="39"/>
    </row>
    <row r="140" spans="1:13" x14ac:dyDescent="0.25">
      <c r="A140" s="2"/>
      <c r="B140" s="21"/>
      <c r="C140" s="22"/>
      <c r="D140" s="22"/>
      <c r="E140" s="23">
        <v>0</v>
      </c>
      <c r="F140" s="23">
        <v>0</v>
      </c>
      <c r="G140" s="23">
        <v>0</v>
      </c>
      <c r="H140" s="23">
        <v>0</v>
      </c>
      <c r="I140" s="96">
        <f t="shared" si="16"/>
        <v>0</v>
      </c>
      <c r="J140" s="24"/>
      <c r="K140" s="25">
        <v>0</v>
      </c>
      <c r="L140" s="2"/>
      <c r="M140" s="39"/>
    </row>
    <row r="141" spans="1:13" x14ac:dyDescent="0.25">
      <c r="A141" s="2"/>
      <c r="B141" s="21"/>
      <c r="C141" s="22"/>
      <c r="D141" s="22"/>
      <c r="E141" s="23">
        <v>0</v>
      </c>
      <c r="F141" s="23">
        <v>0</v>
      </c>
      <c r="G141" s="23">
        <v>0</v>
      </c>
      <c r="H141" s="23">
        <v>0</v>
      </c>
      <c r="I141" s="96">
        <f t="shared" si="16"/>
        <v>0</v>
      </c>
      <c r="J141" s="24"/>
      <c r="K141" s="25">
        <v>0</v>
      </c>
      <c r="L141" s="2"/>
      <c r="M141" s="39"/>
    </row>
    <row r="142" spans="1:13" x14ac:dyDescent="0.25">
      <c r="A142" s="2"/>
      <c r="B142" s="26"/>
      <c r="C142" s="27"/>
      <c r="D142" s="22"/>
      <c r="E142" s="23">
        <v>0</v>
      </c>
      <c r="F142" s="23">
        <v>0</v>
      </c>
      <c r="G142" s="23">
        <v>0</v>
      </c>
      <c r="H142" s="23">
        <v>0</v>
      </c>
      <c r="I142" s="96">
        <f t="shared" si="16"/>
        <v>0</v>
      </c>
      <c r="J142" s="28"/>
      <c r="K142" s="29">
        <v>0</v>
      </c>
      <c r="L142" s="2"/>
      <c r="M142" s="39"/>
    </row>
    <row r="143" spans="1:13" ht="16.5" thickBot="1" x14ac:dyDescent="0.3">
      <c r="A143" s="2"/>
      <c r="B143" s="14"/>
      <c r="C143" s="30"/>
      <c r="D143" s="98" t="s">
        <v>65</v>
      </c>
      <c r="E143" s="97">
        <f>ROUND(SUM(E123:E142),2)</f>
        <v>0</v>
      </c>
      <c r="F143" s="97">
        <f t="shared" ref="F143:H143" si="17">ROUND(SUM(F123:F142),2)</f>
        <v>0</v>
      </c>
      <c r="G143" s="97">
        <f t="shared" si="17"/>
        <v>0</v>
      </c>
      <c r="H143" s="97">
        <f t="shared" si="17"/>
        <v>0</v>
      </c>
      <c r="I143" s="97">
        <f>ROUND(SUM(I123:I142),2)</f>
        <v>0</v>
      </c>
      <c r="J143" s="14"/>
      <c r="K143" s="99">
        <f>ROUND(SUM(K123:K142)+K116,2)</f>
        <v>0</v>
      </c>
      <c r="L143" s="2"/>
      <c r="M143" s="39"/>
    </row>
    <row r="144" spans="1:13" ht="16.5" thickBot="1" x14ac:dyDescent="0.3">
      <c r="A144" s="2"/>
      <c r="B144" s="2"/>
      <c r="C144" s="95" t="s">
        <v>66</v>
      </c>
      <c r="D144" s="2"/>
      <c r="E144" s="18"/>
      <c r="F144" s="2"/>
      <c r="G144" s="2"/>
      <c r="H144" s="76" t="s">
        <v>197</v>
      </c>
      <c r="I144" s="2"/>
      <c r="J144" s="2"/>
      <c r="K144" s="99">
        <f>ROUND(I143-K143,2)</f>
        <v>0</v>
      </c>
      <c r="L144" s="2"/>
      <c r="M144" s="39"/>
    </row>
    <row r="145" spans="1:13" ht="16.5" thickTop="1" x14ac:dyDescent="0.25">
      <c r="A145" s="2"/>
      <c r="B145" s="2"/>
      <c r="C145" s="31"/>
      <c r="D145" s="2"/>
      <c r="E145" s="18"/>
      <c r="F145" s="2"/>
      <c r="G145" s="2"/>
      <c r="H145" s="2"/>
      <c r="I145" s="2"/>
      <c r="J145" s="2"/>
      <c r="K145" s="100" t="str">
        <f>IF(K144&lt;&gt;0,"ERROR BANK- TO-BOOK VARIANCE","RECONCILED")</f>
        <v>RECONCILED</v>
      </c>
      <c r="L145" s="2"/>
      <c r="M145" s="39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9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9"/>
    </row>
    <row r="148" spans="1:13" x14ac:dyDescent="0.25">
      <c r="A148" s="2"/>
      <c r="B148" s="2"/>
      <c r="C148" s="2"/>
      <c r="D148" s="95" t="s">
        <v>67</v>
      </c>
      <c r="E148" s="2"/>
      <c r="F148" s="2"/>
      <c r="G148" s="2"/>
      <c r="H148" s="2"/>
      <c r="I148" s="2"/>
      <c r="J148" s="2"/>
      <c r="K148" s="2"/>
      <c r="L148" s="2"/>
      <c r="M148" s="39"/>
    </row>
    <row r="149" spans="1:13" ht="16.5" thickBot="1" x14ac:dyDescent="0.3">
      <c r="A149" s="78" t="s">
        <v>227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9"/>
    </row>
    <row r="150" spans="1:13" x14ac:dyDescent="0.25">
      <c r="A150" s="177" t="s">
        <v>93</v>
      </c>
      <c r="B150" s="175" t="s">
        <v>68</v>
      </c>
      <c r="C150" s="158" t="s">
        <v>94</v>
      </c>
      <c r="D150" s="153"/>
      <c r="E150" s="177" t="s">
        <v>93</v>
      </c>
      <c r="F150" s="175" t="s">
        <v>68</v>
      </c>
      <c r="G150" s="158" t="s">
        <v>94</v>
      </c>
      <c r="H150" s="153"/>
      <c r="I150" s="177" t="s">
        <v>93</v>
      </c>
      <c r="J150" s="175" t="s">
        <v>68</v>
      </c>
      <c r="K150" s="158" t="s">
        <v>94</v>
      </c>
      <c r="L150" s="153"/>
      <c r="M150" s="39"/>
    </row>
    <row r="151" spans="1:13" x14ac:dyDescent="0.25">
      <c r="A151" s="178"/>
      <c r="B151" s="179"/>
      <c r="C151" s="159"/>
      <c r="D151" s="160"/>
      <c r="E151" s="178"/>
      <c r="F151" s="179"/>
      <c r="G151" s="159"/>
      <c r="H151" s="160"/>
      <c r="I151" s="178"/>
      <c r="J151" s="179"/>
      <c r="K151" s="159"/>
      <c r="L151" s="160"/>
      <c r="M151" s="39"/>
    </row>
    <row r="152" spans="1:13" x14ac:dyDescent="0.25">
      <c r="A152" s="8"/>
      <c r="B152" s="104" cm="1">
        <f t="array" ref="B152:B160">TRANSPOSE(E18:M18)</f>
        <v>0</v>
      </c>
      <c r="C152" s="209"/>
      <c r="D152" s="210"/>
      <c r="E152" s="8"/>
      <c r="F152" s="104" cm="1">
        <f t="array" ref="F152:F157">TRANSPOSE(H45:M45)</f>
        <v>0</v>
      </c>
      <c r="G152" s="180"/>
      <c r="H152" s="181"/>
      <c r="I152" s="8"/>
      <c r="J152" s="104" cm="1">
        <f t="array" ref="J152:J154">TRANSPOSE(K72:M72)</f>
        <v>0</v>
      </c>
      <c r="K152" s="180"/>
      <c r="L152" s="181"/>
      <c r="M152" s="39"/>
    </row>
    <row r="153" spans="1:13" x14ac:dyDescent="0.25">
      <c r="A153" s="8"/>
      <c r="B153" s="104">
        <v>0</v>
      </c>
      <c r="C153" s="180"/>
      <c r="D153" s="181"/>
      <c r="E153" s="8"/>
      <c r="F153" s="104">
        <v>0</v>
      </c>
      <c r="G153" s="180"/>
      <c r="H153" s="181"/>
      <c r="I153" s="8"/>
      <c r="J153" s="104">
        <v>0</v>
      </c>
      <c r="K153" s="180"/>
      <c r="L153" s="181"/>
      <c r="M153" s="39"/>
    </row>
    <row r="154" spans="1:13" x14ac:dyDescent="0.25">
      <c r="A154" s="8"/>
      <c r="B154" s="104">
        <v>0</v>
      </c>
      <c r="C154" s="180"/>
      <c r="D154" s="181"/>
      <c r="E154" s="8"/>
      <c r="F154" s="104">
        <v>0</v>
      </c>
      <c r="G154" s="180"/>
      <c r="H154" s="181"/>
      <c r="I154" s="8"/>
      <c r="J154" s="104">
        <v>0</v>
      </c>
      <c r="K154" s="180"/>
      <c r="L154" s="181"/>
      <c r="M154" s="39"/>
    </row>
    <row r="155" spans="1:13" x14ac:dyDescent="0.25">
      <c r="A155" s="8"/>
      <c r="B155" s="104">
        <v>0</v>
      </c>
      <c r="C155" s="180"/>
      <c r="D155" s="181"/>
      <c r="E155" s="8"/>
      <c r="F155" s="104">
        <v>0</v>
      </c>
      <c r="G155" s="180"/>
      <c r="H155" s="181"/>
      <c r="I155" s="8"/>
      <c r="J155" s="104" cm="1">
        <f t="array" ref="J155:J162">TRANSPOSE(E99:L99)</f>
        <v>0</v>
      </c>
      <c r="K155" s="180"/>
      <c r="L155" s="181"/>
      <c r="M155" s="39"/>
    </row>
    <row r="156" spans="1:13" x14ac:dyDescent="0.25">
      <c r="A156" s="8"/>
      <c r="B156" s="104">
        <v>0</v>
      </c>
      <c r="C156" s="182"/>
      <c r="D156" s="183"/>
      <c r="E156" s="8"/>
      <c r="F156" s="104">
        <v>0</v>
      </c>
      <c r="G156" s="182"/>
      <c r="H156" s="183"/>
      <c r="I156" s="8"/>
      <c r="J156" s="104">
        <v>0</v>
      </c>
      <c r="K156" s="182"/>
      <c r="L156" s="183"/>
      <c r="M156" s="39"/>
    </row>
    <row r="157" spans="1:13" x14ac:dyDescent="0.25">
      <c r="A157" s="8"/>
      <c r="B157" s="104">
        <v>0</v>
      </c>
      <c r="C157" s="180"/>
      <c r="D157" s="181"/>
      <c r="E157" s="8"/>
      <c r="F157" s="104">
        <v>0</v>
      </c>
      <c r="G157" s="180"/>
      <c r="H157" s="181"/>
      <c r="I157" s="8"/>
      <c r="J157" s="104">
        <v>0</v>
      </c>
      <c r="K157" s="180"/>
      <c r="L157" s="181"/>
      <c r="M157" s="39"/>
    </row>
    <row r="158" spans="1:13" x14ac:dyDescent="0.25">
      <c r="A158" s="8"/>
      <c r="B158" s="104">
        <v>0</v>
      </c>
      <c r="C158" s="180"/>
      <c r="D158" s="181"/>
      <c r="E158" s="8"/>
      <c r="F158" s="104" cm="1">
        <f t="array" ref="F158:F162">TRANSPOSE(F72:J72)</f>
        <v>0</v>
      </c>
      <c r="G158" s="180"/>
      <c r="H158" s="181"/>
      <c r="I158" s="8"/>
      <c r="J158" s="104">
        <v>0</v>
      </c>
      <c r="K158" s="180"/>
      <c r="L158" s="181"/>
      <c r="M158" s="39"/>
    </row>
    <row r="159" spans="1:13" x14ac:dyDescent="0.25">
      <c r="A159" s="8"/>
      <c r="B159" s="104">
        <v>0</v>
      </c>
      <c r="C159" s="180"/>
      <c r="D159" s="181"/>
      <c r="E159" s="8"/>
      <c r="F159" s="104">
        <v>0</v>
      </c>
      <c r="G159" s="180"/>
      <c r="H159" s="181"/>
      <c r="I159" s="8"/>
      <c r="J159" s="104">
        <v>0</v>
      </c>
      <c r="K159" s="180"/>
      <c r="L159" s="181"/>
      <c r="M159" s="39"/>
    </row>
    <row r="160" spans="1:13" x14ac:dyDescent="0.25">
      <c r="A160" s="8"/>
      <c r="B160" s="104">
        <v>0</v>
      </c>
      <c r="C160" s="180"/>
      <c r="D160" s="181"/>
      <c r="E160" s="8"/>
      <c r="F160" s="104">
        <v>0</v>
      </c>
      <c r="G160" s="180"/>
      <c r="H160" s="181"/>
      <c r="I160" s="8"/>
      <c r="J160" s="104">
        <v>0</v>
      </c>
      <c r="K160" s="180"/>
      <c r="L160" s="181"/>
      <c r="M160" s="39"/>
    </row>
    <row r="161" spans="1:13" x14ac:dyDescent="0.25">
      <c r="A161" s="8"/>
      <c r="B161" s="104" cm="1">
        <f t="array" ref="B161:B162">TRANSPOSE(F45:G45)</f>
        <v>0</v>
      </c>
      <c r="C161" s="180"/>
      <c r="D161" s="181"/>
      <c r="E161" s="8"/>
      <c r="F161" s="104">
        <v>0</v>
      </c>
      <c r="G161" s="180"/>
      <c r="H161" s="181"/>
      <c r="I161" s="8"/>
      <c r="J161" s="104">
        <v>0</v>
      </c>
      <c r="K161" s="180"/>
      <c r="L161" s="181"/>
      <c r="M161" s="39"/>
    </row>
    <row r="162" spans="1:13" ht="16.5" thickBot="1" x14ac:dyDescent="0.3">
      <c r="A162" s="35"/>
      <c r="B162" s="105">
        <v>0</v>
      </c>
      <c r="C162" s="199"/>
      <c r="D162" s="200"/>
      <c r="E162" s="35"/>
      <c r="F162" s="105">
        <v>0</v>
      </c>
      <c r="G162" s="199"/>
      <c r="H162" s="200"/>
      <c r="I162" s="35"/>
      <c r="J162" s="105">
        <v>0</v>
      </c>
      <c r="K162" s="199"/>
      <c r="L162" s="200"/>
      <c r="M162" s="39"/>
    </row>
    <row r="163" spans="1:13" ht="16.5" thickBot="1" x14ac:dyDescent="0.3">
      <c r="A163" s="2"/>
      <c r="B163" s="2"/>
      <c r="C163" s="2"/>
      <c r="E163" s="2"/>
      <c r="F163" s="2"/>
      <c r="G163" s="2"/>
      <c r="H163" s="2"/>
      <c r="I163" s="75" t="s">
        <v>185</v>
      </c>
      <c r="J163" s="106">
        <f>ROUND(SUM(B152:B162)+SUM(F152:F162)+SUM(J152:J162),2)</f>
        <v>0</v>
      </c>
      <c r="K163" s="33"/>
      <c r="L163" s="34"/>
      <c r="M163" s="39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9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9"/>
    </row>
    <row r="166" spans="1:13" x14ac:dyDescent="0.25">
      <c r="A166" s="2"/>
      <c r="B166" s="2"/>
      <c r="C166" s="2"/>
      <c r="D166" s="95" t="s">
        <v>95</v>
      </c>
      <c r="E166" s="2"/>
      <c r="F166" s="2"/>
      <c r="G166" s="2"/>
      <c r="H166" s="2"/>
      <c r="I166" s="2"/>
      <c r="J166" s="2"/>
      <c r="K166" s="2"/>
      <c r="L166" s="2"/>
      <c r="M166" s="39"/>
    </row>
    <row r="167" spans="1:13" ht="16.5" thickBot="1" x14ac:dyDescent="0.3">
      <c r="A167" s="78" t="s">
        <v>226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9"/>
    </row>
    <row r="168" spans="1:13" x14ac:dyDescent="0.25">
      <c r="A168" s="177" t="s">
        <v>8</v>
      </c>
      <c r="B168" s="175" t="s">
        <v>68</v>
      </c>
      <c r="C168" s="158" t="s">
        <v>69</v>
      </c>
      <c r="D168" s="153"/>
      <c r="E168" s="177" t="s">
        <v>8</v>
      </c>
      <c r="F168" s="175" t="s">
        <v>68</v>
      </c>
      <c r="G168" s="158" t="s">
        <v>69</v>
      </c>
      <c r="H168" s="153"/>
      <c r="I168" s="177" t="s">
        <v>8</v>
      </c>
      <c r="J168" s="175" t="s">
        <v>68</v>
      </c>
      <c r="K168" s="158" t="s">
        <v>69</v>
      </c>
      <c r="L168" s="153"/>
      <c r="M168" s="39"/>
    </row>
    <row r="169" spans="1:13" x14ac:dyDescent="0.25">
      <c r="A169" s="178"/>
      <c r="B169" s="179"/>
      <c r="C169" s="159"/>
      <c r="D169" s="160"/>
      <c r="E169" s="178"/>
      <c r="F169" s="179"/>
      <c r="G169" s="159"/>
      <c r="H169" s="160"/>
      <c r="I169" s="178"/>
      <c r="J169" s="179"/>
      <c r="K169" s="159"/>
      <c r="L169" s="160"/>
      <c r="M169" s="39"/>
    </row>
    <row r="170" spans="1:13" x14ac:dyDescent="0.25">
      <c r="A170" s="108" cm="1">
        <f t="array" ref="A170:A178">TRANSPOSE(E7:M7)</f>
        <v>11000</v>
      </c>
      <c r="B170" s="104" cm="1">
        <f t="array" ref="B170:B178">TRANSPOSE(E22:M22)</f>
        <v>0</v>
      </c>
      <c r="C170" s="180"/>
      <c r="D170" s="181"/>
      <c r="E170" s="108" cm="1">
        <f t="array" ref="E170:E175">TRANSPOSE(H34:M34)</f>
        <v>26000</v>
      </c>
      <c r="F170" s="104" cm="1">
        <f t="array" ref="F170:F175">TRANSPOSE(H49:M49)</f>
        <v>0</v>
      </c>
      <c r="G170" s="180"/>
      <c r="H170" s="181"/>
      <c r="I170" s="107" cm="1">
        <f t="array" ref="I170:I172">TRANSPOSE(K61:M61)</f>
        <v>31700</v>
      </c>
      <c r="J170" s="104" cm="1">
        <f t="array" ref="J170:J172">TRANSPOSE(K76:M76)</f>
        <v>0</v>
      </c>
      <c r="K170" s="180"/>
      <c r="L170" s="181"/>
      <c r="M170" s="39"/>
    </row>
    <row r="171" spans="1:13" x14ac:dyDescent="0.25">
      <c r="A171" s="108">
        <v>12000</v>
      </c>
      <c r="B171" s="104">
        <v>0</v>
      </c>
      <c r="C171" s="180"/>
      <c r="D171" s="181"/>
      <c r="E171" s="108">
        <v>27000</v>
      </c>
      <c r="F171" s="104">
        <v>0</v>
      </c>
      <c r="G171" s="180"/>
      <c r="H171" s="181"/>
      <c r="I171" s="107">
        <v>31701</v>
      </c>
      <c r="J171" s="104">
        <v>0</v>
      </c>
      <c r="K171" s="180"/>
      <c r="L171" s="181"/>
      <c r="M171" s="39"/>
    </row>
    <row r="172" spans="1:13" x14ac:dyDescent="0.25">
      <c r="A172" s="108">
        <v>13000</v>
      </c>
      <c r="B172" s="104">
        <v>0</v>
      </c>
      <c r="C172" s="180"/>
      <c r="D172" s="181"/>
      <c r="E172" s="108">
        <v>28000</v>
      </c>
      <c r="F172" s="104">
        <v>0</v>
      </c>
      <c r="G172" s="180"/>
      <c r="H172" s="181"/>
      <c r="I172" s="107">
        <v>31703</v>
      </c>
      <c r="J172" s="104">
        <v>0</v>
      </c>
      <c r="K172" s="180"/>
      <c r="L172" s="181"/>
      <c r="M172" s="39"/>
    </row>
    <row r="173" spans="1:13" x14ac:dyDescent="0.25">
      <c r="A173" s="108">
        <v>14000</v>
      </c>
      <c r="B173" s="104">
        <v>0</v>
      </c>
      <c r="C173" s="180"/>
      <c r="D173" s="181"/>
      <c r="E173" s="108">
        <v>29000</v>
      </c>
      <c r="F173" s="104">
        <v>0</v>
      </c>
      <c r="G173" s="180"/>
      <c r="H173" s="181"/>
      <c r="I173" s="108" cm="1">
        <f t="array" ref="I173:I180">TRANSPOSE(E88:L88)</f>
        <v>31800</v>
      </c>
      <c r="J173" s="104" cm="1">
        <f t="array" ref="J173:J180">TRANSPOSE(E103:L103)</f>
        <v>0</v>
      </c>
      <c r="K173" s="180"/>
      <c r="L173" s="181"/>
      <c r="M173" s="39"/>
    </row>
    <row r="174" spans="1:13" x14ac:dyDescent="0.25">
      <c r="A174" s="108">
        <v>15100</v>
      </c>
      <c r="B174" s="104">
        <v>0</v>
      </c>
      <c r="C174" s="180"/>
      <c r="D174" s="181"/>
      <c r="E174" s="108">
        <v>31100</v>
      </c>
      <c r="F174" s="104">
        <v>0</v>
      </c>
      <c r="G174" s="180"/>
      <c r="H174" s="181"/>
      <c r="I174" s="108">
        <v>31900</v>
      </c>
      <c r="J174" s="104">
        <v>0</v>
      </c>
      <c r="K174" s="180"/>
      <c r="L174" s="181"/>
      <c r="M174" s="39"/>
    </row>
    <row r="175" spans="1:13" x14ac:dyDescent="0.25">
      <c r="A175" s="108">
        <v>15200</v>
      </c>
      <c r="B175" s="104">
        <v>0</v>
      </c>
      <c r="C175" s="180"/>
      <c r="D175" s="181"/>
      <c r="E175" s="108">
        <v>31120</v>
      </c>
      <c r="F175" s="104">
        <v>0</v>
      </c>
      <c r="G175" s="180"/>
      <c r="H175" s="181"/>
      <c r="I175" s="108">
        <v>32100</v>
      </c>
      <c r="J175" s="104">
        <v>0</v>
      </c>
      <c r="K175" s="180"/>
      <c r="L175" s="181"/>
      <c r="M175" s="39"/>
    </row>
    <row r="176" spans="1:13" x14ac:dyDescent="0.25">
      <c r="A176" s="108">
        <v>21000</v>
      </c>
      <c r="B176" s="104">
        <v>0</v>
      </c>
      <c r="C176" s="180"/>
      <c r="D176" s="181"/>
      <c r="E176" s="108" cm="1">
        <f t="array" ref="E176:E180">TRANSPOSE(F61:J61)</f>
        <v>31200</v>
      </c>
      <c r="F176" s="104" cm="1">
        <f t="array" ref="F176:F180">TRANSPOSE(F76:J76)</f>
        <v>0</v>
      </c>
      <c r="G176" s="180"/>
      <c r="H176" s="181"/>
      <c r="I176" s="108">
        <v>41000</v>
      </c>
      <c r="J176" s="104">
        <v>0</v>
      </c>
      <c r="K176" s="180"/>
      <c r="L176" s="181"/>
      <c r="M176" s="39"/>
    </row>
    <row r="177" spans="1:13" x14ac:dyDescent="0.25">
      <c r="A177" s="108">
        <v>22000</v>
      </c>
      <c r="B177" s="104">
        <v>0</v>
      </c>
      <c r="C177" s="180"/>
      <c r="D177" s="181"/>
      <c r="E177" s="108">
        <v>31300</v>
      </c>
      <c r="F177" s="104">
        <v>0</v>
      </c>
      <c r="G177" s="180"/>
      <c r="H177" s="181"/>
      <c r="I177" s="108">
        <v>41200</v>
      </c>
      <c r="J177" s="104">
        <v>0</v>
      </c>
      <c r="K177" s="180"/>
      <c r="L177" s="181"/>
      <c r="M177" s="39"/>
    </row>
    <row r="178" spans="1:13" x14ac:dyDescent="0.25">
      <c r="A178" s="108">
        <v>23000</v>
      </c>
      <c r="B178" s="104">
        <v>0</v>
      </c>
      <c r="C178" s="180"/>
      <c r="D178" s="181"/>
      <c r="E178" s="108">
        <v>31400</v>
      </c>
      <c r="F178" s="104">
        <v>0</v>
      </c>
      <c r="G178" s="180"/>
      <c r="H178" s="181"/>
      <c r="I178" s="108">
        <v>41800</v>
      </c>
      <c r="J178" s="104">
        <v>0</v>
      </c>
      <c r="K178" s="180"/>
      <c r="L178" s="181"/>
      <c r="M178" s="39"/>
    </row>
    <row r="179" spans="1:13" x14ac:dyDescent="0.25">
      <c r="A179" s="108" cm="1">
        <f t="array" ref="A179:A180">TRANSPOSE(F34:G34)</f>
        <v>24000</v>
      </c>
      <c r="B179" s="104" cm="1">
        <f t="array" ref="B179:B180">TRANSPOSE(F49:G49)</f>
        <v>0</v>
      </c>
      <c r="C179" s="182"/>
      <c r="D179" s="183"/>
      <c r="E179" s="108">
        <v>31500</v>
      </c>
      <c r="F179" s="104">
        <v>0</v>
      </c>
      <c r="G179" s="182"/>
      <c r="H179" s="183"/>
      <c r="I179" s="108">
        <v>42000</v>
      </c>
      <c r="J179" s="104">
        <v>0</v>
      </c>
      <c r="K179" s="182"/>
      <c r="L179" s="183"/>
      <c r="M179" s="39"/>
    </row>
    <row r="180" spans="1:13" ht="16.5" thickBot="1" x14ac:dyDescent="0.3">
      <c r="A180" s="109">
        <v>25000</v>
      </c>
      <c r="B180" s="105">
        <v>0</v>
      </c>
      <c r="C180" s="199"/>
      <c r="D180" s="200"/>
      <c r="E180" s="109">
        <v>31600</v>
      </c>
      <c r="F180" s="105">
        <v>0</v>
      </c>
      <c r="G180" s="199"/>
      <c r="H180" s="200"/>
      <c r="I180" s="109">
        <v>43000</v>
      </c>
      <c r="J180" s="105">
        <v>0</v>
      </c>
      <c r="K180" s="199"/>
      <c r="L180" s="200"/>
      <c r="M180" s="39"/>
    </row>
    <row r="181" spans="1:13" ht="16.5" thickBot="1" x14ac:dyDescent="0.3">
      <c r="A181" s="2"/>
      <c r="B181" s="2"/>
      <c r="C181" s="2"/>
      <c r="E181" s="2"/>
      <c r="F181" s="2"/>
      <c r="G181" s="2"/>
      <c r="H181" s="2"/>
      <c r="I181" s="110" t="s">
        <v>185</v>
      </c>
      <c r="J181" s="111">
        <f>ROUND(SUM(B170:B180)+SUM(F170:F180)+SUM(J170:J180),2)</f>
        <v>0</v>
      </c>
      <c r="K181" s="71"/>
      <c r="L181" s="72"/>
      <c r="M181" s="39"/>
    </row>
    <row r="182" spans="1:13" x14ac:dyDescent="0.25">
      <c r="A182" s="2"/>
      <c r="B182" s="2"/>
      <c r="C182" s="2"/>
      <c r="D182" s="2"/>
      <c r="E182" s="2"/>
      <c r="F182" s="2"/>
      <c r="G182" s="2"/>
      <c r="H182" s="32"/>
      <c r="I182" s="19"/>
      <c r="J182" s="11"/>
      <c r="K182" s="11"/>
      <c r="L182" s="2"/>
      <c r="M182" s="39"/>
    </row>
    <row r="183" spans="1:13" x14ac:dyDescent="0.25">
      <c r="A183" s="2"/>
      <c r="B183" s="2"/>
      <c r="C183" s="2"/>
      <c r="D183" s="2"/>
      <c r="E183" s="2"/>
      <c r="F183" s="2"/>
      <c r="G183" s="2"/>
      <c r="H183" s="32"/>
      <c r="I183" s="18"/>
      <c r="J183" s="11"/>
      <c r="K183" s="11"/>
      <c r="L183" s="2"/>
      <c r="M183" s="39"/>
    </row>
    <row r="184" spans="1:13" x14ac:dyDescent="0.25">
      <c r="A184" s="2"/>
      <c r="B184" s="2"/>
      <c r="C184" s="2"/>
      <c r="D184" s="95" t="s">
        <v>183</v>
      </c>
      <c r="E184" s="2"/>
      <c r="F184" s="2"/>
      <c r="G184" s="2"/>
      <c r="H184" s="2"/>
      <c r="I184" s="2"/>
      <c r="J184" s="2"/>
      <c r="K184" s="2"/>
      <c r="L184" s="2"/>
      <c r="M184" s="39"/>
    </row>
    <row r="185" spans="1:13" ht="16.5" thickBot="1" x14ac:dyDescent="0.3">
      <c r="A185" s="78" t="s">
        <v>200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9"/>
    </row>
    <row r="186" spans="1:13" x14ac:dyDescent="0.25">
      <c r="A186" s="177" t="s">
        <v>8</v>
      </c>
      <c r="B186" s="175" t="s">
        <v>68</v>
      </c>
      <c r="C186" s="158" t="s">
        <v>69</v>
      </c>
      <c r="D186" s="153"/>
      <c r="E186" s="177" t="s">
        <v>8</v>
      </c>
      <c r="F186" s="175" t="s">
        <v>68</v>
      </c>
      <c r="G186" s="158" t="s">
        <v>69</v>
      </c>
      <c r="H186" s="153"/>
      <c r="I186" s="177" t="s">
        <v>8</v>
      </c>
      <c r="J186" s="175" t="s">
        <v>68</v>
      </c>
      <c r="K186" s="158" t="s">
        <v>69</v>
      </c>
      <c r="L186" s="153"/>
      <c r="M186" s="39"/>
    </row>
    <row r="187" spans="1:13" x14ac:dyDescent="0.25">
      <c r="A187" s="178"/>
      <c r="B187" s="179"/>
      <c r="C187" s="159"/>
      <c r="D187" s="160"/>
      <c r="E187" s="178"/>
      <c r="F187" s="179"/>
      <c r="G187" s="159"/>
      <c r="H187" s="160"/>
      <c r="I187" s="178"/>
      <c r="J187" s="179"/>
      <c r="K187" s="159"/>
      <c r="L187" s="160"/>
      <c r="M187" s="39"/>
    </row>
    <row r="188" spans="1:13" x14ac:dyDescent="0.25">
      <c r="A188" s="108" cm="1">
        <f t="array" ref="A188:A196">TRANSPOSE(E7:M7)</f>
        <v>11000</v>
      </c>
      <c r="B188" s="104" cm="1">
        <f t="array" ref="B188:B196">TRANSPOSE(E24:M24)</f>
        <v>0</v>
      </c>
      <c r="C188" s="180"/>
      <c r="D188" s="181"/>
      <c r="E188" s="108" cm="1">
        <f t="array" ref="E188:E193">TRANSPOSE(H34:M34)</f>
        <v>26000</v>
      </c>
      <c r="F188" s="104" cm="1">
        <f t="array" ref="F188:F193">TRANSPOSE(H51:M51)</f>
        <v>0</v>
      </c>
      <c r="G188" s="180"/>
      <c r="H188" s="181"/>
      <c r="I188" s="107" cm="1">
        <f t="array" ref="I188:I190">TRANSPOSE(K61:M61)</f>
        <v>31700</v>
      </c>
      <c r="J188" s="104" cm="1">
        <f t="array" ref="J188:J190">TRANSPOSE(K78:M78)</f>
        <v>0</v>
      </c>
      <c r="K188" s="180"/>
      <c r="L188" s="181"/>
      <c r="M188" s="39"/>
    </row>
    <row r="189" spans="1:13" x14ac:dyDescent="0.25">
      <c r="A189" s="108">
        <v>12000</v>
      </c>
      <c r="B189" s="104">
        <v>0</v>
      </c>
      <c r="C189" s="180"/>
      <c r="D189" s="181"/>
      <c r="E189" s="108">
        <v>27000</v>
      </c>
      <c r="F189" s="104">
        <v>0</v>
      </c>
      <c r="G189" s="180"/>
      <c r="H189" s="181"/>
      <c r="I189" s="107">
        <v>31701</v>
      </c>
      <c r="J189" s="104">
        <v>0</v>
      </c>
      <c r="K189" s="180"/>
      <c r="L189" s="181"/>
      <c r="M189" s="39"/>
    </row>
    <row r="190" spans="1:13" x14ac:dyDescent="0.25">
      <c r="A190" s="108">
        <v>13000</v>
      </c>
      <c r="B190" s="104">
        <v>0</v>
      </c>
      <c r="C190" s="180"/>
      <c r="D190" s="181"/>
      <c r="E190" s="108">
        <v>28000</v>
      </c>
      <c r="F190" s="104">
        <v>0</v>
      </c>
      <c r="G190" s="180"/>
      <c r="H190" s="181"/>
      <c r="I190" s="107">
        <v>31703</v>
      </c>
      <c r="J190" s="104">
        <v>0</v>
      </c>
      <c r="K190" s="180"/>
      <c r="L190" s="181"/>
      <c r="M190" s="39"/>
    </row>
    <row r="191" spans="1:13" x14ac:dyDescent="0.25">
      <c r="A191" s="108">
        <v>14000</v>
      </c>
      <c r="B191" s="104">
        <v>0</v>
      </c>
      <c r="C191" s="180"/>
      <c r="D191" s="181"/>
      <c r="E191" s="108">
        <v>29000</v>
      </c>
      <c r="F191" s="104">
        <v>0</v>
      </c>
      <c r="G191" s="180"/>
      <c r="H191" s="181"/>
      <c r="I191" s="107" cm="1">
        <f t="array" ref="I191:I198">TRANSPOSE(E88:L88)</f>
        <v>31800</v>
      </c>
      <c r="J191" s="104" cm="1">
        <f t="array" ref="J191:J198">TRANSPOSE(E105:L105)</f>
        <v>0</v>
      </c>
      <c r="K191" s="180"/>
      <c r="L191" s="181"/>
      <c r="M191" s="39"/>
    </row>
    <row r="192" spans="1:13" x14ac:dyDescent="0.25">
      <c r="A192" s="108">
        <v>15100</v>
      </c>
      <c r="B192" s="104">
        <v>0</v>
      </c>
      <c r="C192" s="182"/>
      <c r="D192" s="183"/>
      <c r="E192" s="108">
        <v>31100</v>
      </c>
      <c r="F192" s="104">
        <v>0</v>
      </c>
      <c r="G192" s="182"/>
      <c r="H192" s="183"/>
      <c r="I192" s="107">
        <v>31900</v>
      </c>
      <c r="J192" s="104">
        <v>0</v>
      </c>
      <c r="K192" s="182"/>
      <c r="L192" s="183"/>
      <c r="M192" s="39"/>
    </row>
    <row r="193" spans="1:13" x14ac:dyDescent="0.25">
      <c r="A193" s="108">
        <v>15200</v>
      </c>
      <c r="B193" s="104">
        <v>0</v>
      </c>
      <c r="C193" s="180"/>
      <c r="D193" s="181"/>
      <c r="E193" s="108">
        <v>31120</v>
      </c>
      <c r="F193" s="104">
        <v>0</v>
      </c>
      <c r="G193" s="180"/>
      <c r="H193" s="181"/>
      <c r="I193" s="107">
        <v>32100</v>
      </c>
      <c r="J193" s="104">
        <v>0</v>
      </c>
      <c r="K193" s="180"/>
      <c r="L193" s="181"/>
      <c r="M193" s="39"/>
    </row>
    <row r="194" spans="1:13" x14ac:dyDescent="0.25">
      <c r="A194" s="108">
        <v>21000</v>
      </c>
      <c r="B194" s="104">
        <v>0</v>
      </c>
      <c r="C194" s="180"/>
      <c r="D194" s="181"/>
      <c r="E194" s="108" cm="1">
        <f t="array" ref="E194:E198">TRANSPOSE(F61:J61)</f>
        <v>31200</v>
      </c>
      <c r="F194" s="104" cm="1">
        <f t="array" ref="F194:F198">TRANSPOSE(F78:J78)</f>
        <v>0</v>
      </c>
      <c r="G194" s="180"/>
      <c r="H194" s="181"/>
      <c r="I194" s="107">
        <v>41000</v>
      </c>
      <c r="J194" s="104">
        <v>0</v>
      </c>
      <c r="K194" s="180"/>
      <c r="L194" s="181"/>
      <c r="M194" s="39"/>
    </row>
    <row r="195" spans="1:13" x14ac:dyDescent="0.25">
      <c r="A195" s="108">
        <v>22000</v>
      </c>
      <c r="B195" s="104">
        <v>0</v>
      </c>
      <c r="C195" s="180"/>
      <c r="D195" s="181"/>
      <c r="E195" s="108">
        <v>31300</v>
      </c>
      <c r="F195" s="104">
        <v>0</v>
      </c>
      <c r="G195" s="180"/>
      <c r="H195" s="181"/>
      <c r="I195" s="107">
        <v>41200</v>
      </c>
      <c r="J195" s="104">
        <v>0</v>
      </c>
      <c r="K195" s="180"/>
      <c r="L195" s="181"/>
      <c r="M195" s="39"/>
    </row>
    <row r="196" spans="1:13" x14ac:dyDescent="0.25">
      <c r="A196" s="108">
        <v>23000</v>
      </c>
      <c r="B196" s="104">
        <v>0</v>
      </c>
      <c r="C196" s="180"/>
      <c r="D196" s="181"/>
      <c r="E196" s="108">
        <v>31400</v>
      </c>
      <c r="F196" s="104">
        <v>0</v>
      </c>
      <c r="G196" s="180"/>
      <c r="H196" s="181"/>
      <c r="I196" s="107">
        <v>41800</v>
      </c>
      <c r="J196" s="104">
        <v>0</v>
      </c>
      <c r="K196" s="180"/>
      <c r="L196" s="181"/>
      <c r="M196" s="39"/>
    </row>
    <row r="197" spans="1:13" x14ac:dyDescent="0.25">
      <c r="A197" s="108" cm="1">
        <f t="array" ref="A197:A198">TRANSPOSE(F34:G34)</f>
        <v>24000</v>
      </c>
      <c r="B197" s="104" cm="1">
        <f t="array" ref="B197:B198">TRANSPOSE(F51:G51)</f>
        <v>0</v>
      </c>
      <c r="C197" s="180"/>
      <c r="D197" s="181"/>
      <c r="E197" s="108">
        <v>31500</v>
      </c>
      <c r="F197" s="104">
        <v>0</v>
      </c>
      <c r="G197" s="180"/>
      <c r="H197" s="181"/>
      <c r="I197" s="107">
        <v>42000</v>
      </c>
      <c r="J197" s="104">
        <v>0</v>
      </c>
      <c r="K197" s="180"/>
      <c r="L197" s="181"/>
      <c r="M197" s="39"/>
    </row>
    <row r="198" spans="1:13" ht="16.5" thickBot="1" x14ac:dyDescent="0.3">
      <c r="A198" s="109">
        <v>25000</v>
      </c>
      <c r="B198" s="105">
        <v>0</v>
      </c>
      <c r="C198" s="199"/>
      <c r="D198" s="200"/>
      <c r="E198" s="109">
        <v>31600</v>
      </c>
      <c r="F198" s="105">
        <v>0</v>
      </c>
      <c r="G198" s="199"/>
      <c r="H198" s="200"/>
      <c r="I198" s="112">
        <v>43000</v>
      </c>
      <c r="J198" s="105">
        <v>0</v>
      </c>
      <c r="K198" s="199"/>
      <c r="L198" s="200"/>
      <c r="M198" s="39"/>
    </row>
    <row r="199" spans="1:13" ht="16.5" thickBot="1" x14ac:dyDescent="0.3">
      <c r="A199" s="2"/>
      <c r="B199" s="2"/>
      <c r="C199" s="2"/>
      <c r="E199" s="2"/>
      <c r="F199" s="2"/>
      <c r="G199" s="2"/>
      <c r="H199" s="2"/>
      <c r="I199" s="113" t="s">
        <v>185</v>
      </c>
      <c r="J199" s="106">
        <f>ROUND(SUM(B188:B198)+SUM(F188:F198)+SUM(J188:J198),2)</f>
        <v>0</v>
      </c>
      <c r="K199" s="33"/>
      <c r="L199" s="34"/>
      <c r="M199" s="39"/>
    </row>
    <row r="200" spans="1:13" x14ac:dyDescent="0.25">
      <c r="A200" s="2"/>
      <c r="B200" s="2"/>
      <c r="C200" s="2"/>
      <c r="D200" s="2"/>
      <c r="E200" s="2"/>
      <c r="F200" s="2"/>
      <c r="G200" s="2"/>
      <c r="H200" s="32"/>
      <c r="I200" s="19"/>
      <c r="J200" s="11"/>
      <c r="K200" s="11"/>
      <c r="L200" s="2"/>
      <c r="M200" s="39"/>
    </row>
    <row r="201" spans="1:13" x14ac:dyDescent="0.25">
      <c r="A201" s="2"/>
      <c r="B201" s="2"/>
      <c r="C201" s="2"/>
      <c r="D201" s="2"/>
      <c r="E201" s="2"/>
      <c r="F201" s="2"/>
      <c r="G201" s="2"/>
      <c r="H201" s="32"/>
      <c r="I201" s="18"/>
      <c r="J201" s="11"/>
      <c r="K201" s="11"/>
      <c r="L201" s="2"/>
      <c r="M201" s="39"/>
    </row>
    <row r="202" spans="1:13" x14ac:dyDescent="0.25">
      <c r="A202" s="2"/>
      <c r="B202" s="2"/>
      <c r="C202" s="2"/>
      <c r="D202" s="95" t="s">
        <v>184</v>
      </c>
      <c r="E202" s="2"/>
      <c r="F202" s="2"/>
      <c r="G202" s="2"/>
      <c r="H202" s="2"/>
      <c r="I202" s="2"/>
      <c r="J202" s="2"/>
      <c r="K202" s="2"/>
      <c r="L202" s="2"/>
      <c r="M202" s="39"/>
    </row>
    <row r="203" spans="1:13" ht="16.5" thickBot="1" x14ac:dyDescent="0.3">
      <c r="A203" s="78" t="s">
        <v>201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9"/>
    </row>
    <row r="204" spans="1:13" x14ac:dyDescent="0.25">
      <c r="A204" s="177" t="s">
        <v>8</v>
      </c>
      <c r="B204" s="175" t="s">
        <v>68</v>
      </c>
      <c r="C204" s="158" t="s">
        <v>69</v>
      </c>
      <c r="D204" s="153"/>
      <c r="E204" s="177" t="s">
        <v>8</v>
      </c>
      <c r="F204" s="175" t="s">
        <v>68</v>
      </c>
      <c r="G204" s="158" t="s">
        <v>69</v>
      </c>
      <c r="H204" s="153"/>
      <c r="I204" s="177" t="s">
        <v>8</v>
      </c>
      <c r="J204" s="175" t="s">
        <v>68</v>
      </c>
      <c r="K204" s="158" t="s">
        <v>69</v>
      </c>
      <c r="L204" s="153"/>
      <c r="M204" s="39"/>
    </row>
    <row r="205" spans="1:13" x14ac:dyDescent="0.25">
      <c r="A205" s="178"/>
      <c r="B205" s="179"/>
      <c r="C205" s="159"/>
      <c r="D205" s="160"/>
      <c r="E205" s="178"/>
      <c r="F205" s="179"/>
      <c r="G205" s="159"/>
      <c r="H205" s="160"/>
      <c r="I205" s="178"/>
      <c r="J205" s="179"/>
      <c r="K205" s="159"/>
      <c r="L205" s="160"/>
      <c r="M205" s="39"/>
    </row>
    <row r="206" spans="1:13" x14ac:dyDescent="0.25">
      <c r="A206" s="227" cm="1">
        <f t="array" ref="A206:A214">TRANSPOSE(E7:M7)</f>
        <v>11000</v>
      </c>
      <c r="B206" s="104" cm="1">
        <f t="array" ref="B206:B214">TRANSPOSE(E28:M28)</f>
        <v>0</v>
      </c>
      <c r="C206" s="180"/>
      <c r="D206" s="181"/>
      <c r="E206" s="227" cm="1">
        <f t="array" ref="E206:E211">TRANSPOSE(H34:M34)</f>
        <v>26000</v>
      </c>
      <c r="F206" s="104" cm="1">
        <f t="array" ref="F206:F211">TRANSPOSE(H55:M55)</f>
        <v>0</v>
      </c>
      <c r="G206" s="180"/>
      <c r="H206" s="181"/>
      <c r="I206" s="227" cm="1">
        <f t="array" ref="I206:I208">TRANSPOSE(K61:M61)</f>
        <v>31700</v>
      </c>
      <c r="J206" s="104" cm="1">
        <f t="array" ref="J206:J208">TRANSPOSE(K82:M82)</f>
        <v>0</v>
      </c>
      <c r="K206" s="180"/>
      <c r="L206" s="181"/>
      <c r="M206" s="39"/>
    </row>
    <row r="207" spans="1:13" x14ac:dyDescent="0.25">
      <c r="A207" s="227">
        <v>12000</v>
      </c>
      <c r="B207" s="104">
        <v>0</v>
      </c>
      <c r="C207" s="180"/>
      <c r="D207" s="181"/>
      <c r="E207" s="227">
        <v>27000</v>
      </c>
      <c r="F207" s="104">
        <v>0</v>
      </c>
      <c r="G207" s="180"/>
      <c r="H207" s="181"/>
      <c r="I207" s="227">
        <v>31701</v>
      </c>
      <c r="J207" s="104">
        <v>0</v>
      </c>
      <c r="K207" s="180"/>
      <c r="L207" s="181"/>
      <c r="M207" s="39"/>
    </row>
    <row r="208" spans="1:13" x14ac:dyDescent="0.25">
      <c r="A208" s="227">
        <v>13000</v>
      </c>
      <c r="B208" s="104">
        <v>0</v>
      </c>
      <c r="C208" s="180"/>
      <c r="D208" s="181"/>
      <c r="E208" s="227">
        <v>28000</v>
      </c>
      <c r="F208" s="104">
        <v>0</v>
      </c>
      <c r="G208" s="180"/>
      <c r="H208" s="181"/>
      <c r="I208" s="227">
        <v>31703</v>
      </c>
      <c r="J208" s="104">
        <v>0</v>
      </c>
      <c r="K208" s="180"/>
      <c r="L208" s="181"/>
      <c r="M208" s="39"/>
    </row>
    <row r="209" spans="1:13" x14ac:dyDescent="0.25">
      <c r="A209" s="227">
        <v>14000</v>
      </c>
      <c r="B209" s="104">
        <v>0</v>
      </c>
      <c r="C209" s="180"/>
      <c r="D209" s="181"/>
      <c r="E209" s="227">
        <v>29000</v>
      </c>
      <c r="F209" s="104">
        <v>0</v>
      </c>
      <c r="G209" s="180"/>
      <c r="H209" s="181"/>
      <c r="I209" s="227" cm="1">
        <f t="array" ref="I209:I216">TRANSPOSE(E88:L88)</f>
        <v>31800</v>
      </c>
      <c r="J209" s="104" cm="1">
        <f t="array" ref="J209:J216">TRANSPOSE(E109:L109)</f>
        <v>0</v>
      </c>
      <c r="K209" s="180"/>
      <c r="L209" s="181"/>
      <c r="M209" s="39"/>
    </row>
    <row r="210" spans="1:13" x14ac:dyDescent="0.25">
      <c r="A210" s="227">
        <v>15100</v>
      </c>
      <c r="B210" s="104">
        <v>0</v>
      </c>
      <c r="C210" s="182"/>
      <c r="D210" s="183"/>
      <c r="E210" s="227">
        <v>31100</v>
      </c>
      <c r="F210" s="104">
        <v>0</v>
      </c>
      <c r="G210" s="182"/>
      <c r="H210" s="183"/>
      <c r="I210" s="227">
        <v>31900</v>
      </c>
      <c r="J210" s="104">
        <v>0</v>
      </c>
      <c r="K210" s="182"/>
      <c r="L210" s="183"/>
      <c r="M210" s="39"/>
    </row>
    <row r="211" spans="1:13" x14ac:dyDescent="0.25">
      <c r="A211" s="227">
        <v>15200</v>
      </c>
      <c r="B211" s="104">
        <v>0</v>
      </c>
      <c r="C211" s="180"/>
      <c r="D211" s="181"/>
      <c r="E211" s="227">
        <v>31120</v>
      </c>
      <c r="F211" s="104">
        <v>0</v>
      </c>
      <c r="G211" s="180"/>
      <c r="H211" s="181"/>
      <c r="I211" s="227">
        <v>32100</v>
      </c>
      <c r="J211" s="104">
        <v>0</v>
      </c>
      <c r="K211" s="180"/>
      <c r="L211" s="181"/>
      <c r="M211" s="39"/>
    </row>
    <row r="212" spans="1:13" x14ac:dyDescent="0.25">
      <c r="A212" s="227">
        <v>21000</v>
      </c>
      <c r="B212" s="104">
        <v>0</v>
      </c>
      <c r="C212" s="180"/>
      <c r="D212" s="181"/>
      <c r="E212" s="227" cm="1">
        <f t="array" ref="E212:E216">TRANSPOSE(F61:J61)</f>
        <v>31200</v>
      </c>
      <c r="F212" s="104" cm="1">
        <f t="array" ref="F212:F216">TRANSPOSE(F82:J82)</f>
        <v>0</v>
      </c>
      <c r="G212" s="180"/>
      <c r="H212" s="181"/>
      <c r="I212" s="227">
        <v>41000</v>
      </c>
      <c r="J212" s="104">
        <v>0</v>
      </c>
      <c r="K212" s="180"/>
      <c r="L212" s="181"/>
      <c r="M212" s="39"/>
    </row>
    <row r="213" spans="1:13" x14ac:dyDescent="0.25">
      <c r="A213" s="227">
        <v>22000</v>
      </c>
      <c r="B213" s="104">
        <v>0</v>
      </c>
      <c r="C213" s="180"/>
      <c r="D213" s="181"/>
      <c r="E213" s="227">
        <v>31300</v>
      </c>
      <c r="F213" s="104">
        <v>0</v>
      </c>
      <c r="G213" s="180"/>
      <c r="H213" s="181"/>
      <c r="I213" s="227">
        <v>41200</v>
      </c>
      <c r="J213" s="104">
        <v>0</v>
      </c>
      <c r="K213" s="180"/>
      <c r="L213" s="181"/>
      <c r="M213" s="39"/>
    </row>
    <row r="214" spans="1:13" x14ac:dyDescent="0.25">
      <c r="A214" s="227">
        <v>23000</v>
      </c>
      <c r="B214" s="104">
        <v>0</v>
      </c>
      <c r="C214" s="180"/>
      <c r="D214" s="181"/>
      <c r="E214" s="227">
        <v>31400</v>
      </c>
      <c r="F214" s="104">
        <v>0</v>
      </c>
      <c r="G214" s="180"/>
      <c r="H214" s="181"/>
      <c r="I214" s="227">
        <v>41800</v>
      </c>
      <c r="J214" s="104">
        <v>0</v>
      </c>
      <c r="K214" s="180"/>
      <c r="L214" s="181"/>
      <c r="M214" s="39"/>
    </row>
    <row r="215" spans="1:13" x14ac:dyDescent="0.25">
      <c r="A215" s="227" cm="1">
        <f t="array" ref="A215:A216">TRANSPOSE(F34:G34)</f>
        <v>24000</v>
      </c>
      <c r="B215" s="104" cm="1">
        <f t="array" ref="B215:B216">TRANSPOSE(F55:G55)</f>
        <v>0</v>
      </c>
      <c r="C215" s="180"/>
      <c r="D215" s="181"/>
      <c r="E215" s="227">
        <v>31500</v>
      </c>
      <c r="F215" s="104">
        <v>0</v>
      </c>
      <c r="G215" s="180"/>
      <c r="H215" s="181"/>
      <c r="I215" s="227">
        <v>42000</v>
      </c>
      <c r="J215" s="104">
        <v>0</v>
      </c>
      <c r="K215" s="180"/>
      <c r="L215" s="181"/>
      <c r="M215" s="39"/>
    </row>
    <row r="216" spans="1:13" ht="16.5" thickBot="1" x14ac:dyDescent="0.3">
      <c r="A216" s="228">
        <v>25000</v>
      </c>
      <c r="B216" s="105">
        <v>0</v>
      </c>
      <c r="C216" s="199"/>
      <c r="D216" s="200"/>
      <c r="E216" s="228">
        <v>31600</v>
      </c>
      <c r="F216" s="105">
        <v>0</v>
      </c>
      <c r="G216" s="199"/>
      <c r="H216" s="200"/>
      <c r="I216" s="228">
        <v>43000</v>
      </c>
      <c r="J216" s="105">
        <v>0</v>
      </c>
      <c r="K216" s="199"/>
      <c r="L216" s="200"/>
      <c r="M216" s="39"/>
    </row>
    <row r="217" spans="1:13" ht="16.5" thickBot="1" x14ac:dyDescent="0.3">
      <c r="A217" s="2"/>
      <c r="B217" s="2"/>
      <c r="C217" s="2"/>
      <c r="E217" s="2"/>
      <c r="F217" s="2"/>
      <c r="G217" s="2"/>
      <c r="H217" s="2"/>
      <c r="I217" s="113" t="s">
        <v>185</v>
      </c>
      <c r="J217" s="106">
        <f>ROUND(SUM(B206:B216)+SUM(F206:F216)+SUM(J206:J216),2)</f>
        <v>0</v>
      </c>
      <c r="K217" s="219" t="str">
        <f>IF(J217&lt;&gt;0,"ERROR","OK")</f>
        <v>OK</v>
      </c>
      <c r="L217" s="220"/>
      <c r="M217" s="39"/>
    </row>
    <row r="218" spans="1:13" x14ac:dyDescent="0.25">
      <c r="A218" s="2"/>
      <c r="B218" s="2"/>
      <c r="C218" s="2"/>
      <c r="D218" s="2"/>
      <c r="E218" s="2"/>
      <c r="F218" s="2"/>
      <c r="G218" s="2"/>
      <c r="H218" s="32"/>
      <c r="I218" s="18"/>
      <c r="J218" s="36"/>
      <c r="K218" s="36"/>
      <c r="L218" s="2"/>
      <c r="M218" s="39"/>
    </row>
    <row r="219" spans="1:13" x14ac:dyDescent="0.25">
      <c r="A219" s="2"/>
      <c r="B219" s="95" t="s">
        <v>70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9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9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9"/>
    </row>
    <row r="222" spans="1:13" x14ac:dyDescent="0.25">
      <c r="A222" s="2"/>
      <c r="B222" s="211"/>
      <c r="C222" s="211"/>
      <c r="D222" s="211"/>
      <c r="E222" s="31"/>
      <c r="F222" s="22"/>
      <c r="G222" s="2"/>
      <c r="H222" s="2"/>
      <c r="I222" s="2"/>
      <c r="J222" s="2"/>
      <c r="K222" s="2"/>
      <c r="L222" s="2"/>
      <c r="M222" s="39"/>
    </row>
    <row r="223" spans="1:13" x14ac:dyDescent="0.25">
      <c r="A223" s="2"/>
      <c r="B223" s="218" t="s">
        <v>71</v>
      </c>
      <c r="C223" s="218"/>
      <c r="D223" s="218"/>
      <c r="E223" s="31"/>
      <c r="F223" s="114" t="s">
        <v>72</v>
      </c>
      <c r="G223" s="2"/>
      <c r="H223" s="2"/>
      <c r="I223" s="2"/>
      <c r="J223" s="2"/>
      <c r="K223" s="2"/>
      <c r="L223" s="2"/>
      <c r="M223" s="39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9"/>
    </row>
    <row r="225" spans="1:13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1:13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13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1:13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1:13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1:13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1:13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</sheetData>
  <sheetProtection formatCells="0" formatColumns="0" formatRows="0" insertColumns="0" insertRows="0" insertHyperlinks="0" sort="0" autoFilter="0" pivotTables="0"/>
  <mergeCells count="218">
    <mergeCell ref="C194:D194"/>
    <mergeCell ref="C196:D196"/>
    <mergeCell ref="C197:D197"/>
    <mergeCell ref="G198:H198"/>
    <mergeCell ref="G207:H207"/>
    <mergeCell ref="K210:L210"/>
    <mergeCell ref="E204:E205"/>
    <mergeCell ref="F204:F205"/>
    <mergeCell ref="G204:H205"/>
    <mergeCell ref="G206:H206"/>
    <mergeCell ref="J204:J205"/>
    <mergeCell ref="K204:L205"/>
    <mergeCell ref="K206:L206"/>
    <mergeCell ref="E186:E187"/>
    <mergeCell ref="G190:H190"/>
    <mergeCell ref="G191:H191"/>
    <mergeCell ref="G193:H193"/>
    <mergeCell ref="G194:H194"/>
    <mergeCell ref="B223:D223"/>
    <mergeCell ref="K211:L211"/>
    <mergeCell ref="K212:L212"/>
    <mergeCell ref="K213:L213"/>
    <mergeCell ref="K214:L214"/>
    <mergeCell ref="K215:L215"/>
    <mergeCell ref="K216:L216"/>
    <mergeCell ref="K217:L217"/>
    <mergeCell ref="C213:D213"/>
    <mergeCell ref="C214:D214"/>
    <mergeCell ref="C215:D215"/>
    <mergeCell ref="C216:D216"/>
    <mergeCell ref="G213:H213"/>
    <mergeCell ref="G214:H214"/>
    <mergeCell ref="G215:H215"/>
    <mergeCell ref="G216:H216"/>
    <mergeCell ref="C211:D211"/>
    <mergeCell ref="C212:D212"/>
    <mergeCell ref="A5:D7"/>
    <mergeCell ref="C156:D156"/>
    <mergeCell ref="G156:H156"/>
    <mergeCell ref="C155:D155"/>
    <mergeCell ref="C179:D179"/>
    <mergeCell ref="G179:H179"/>
    <mergeCell ref="J150:J151"/>
    <mergeCell ref="G180:H180"/>
    <mergeCell ref="C190:D190"/>
    <mergeCell ref="C186:D187"/>
    <mergeCell ref="C188:D188"/>
    <mergeCell ref="C189:D189"/>
    <mergeCell ref="F186:F187"/>
    <mergeCell ref="G186:H187"/>
    <mergeCell ref="G188:H188"/>
    <mergeCell ref="G189:H189"/>
    <mergeCell ref="E86:E87"/>
    <mergeCell ref="B222:D222"/>
    <mergeCell ref="G211:H211"/>
    <mergeCell ref="G212:H212"/>
    <mergeCell ref="C207:D207"/>
    <mergeCell ref="C208:D208"/>
    <mergeCell ref="C209:D209"/>
    <mergeCell ref="I204:I205"/>
    <mergeCell ref="K195:L195"/>
    <mergeCell ref="K196:L196"/>
    <mergeCell ref="K197:L197"/>
    <mergeCell ref="K198:L198"/>
    <mergeCell ref="C204:D205"/>
    <mergeCell ref="C206:D206"/>
    <mergeCell ref="K207:L207"/>
    <mergeCell ref="K208:L208"/>
    <mergeCell ref="K209:L209"/>
    <mergeCell ref="G195:H195"/>
    <mergeCell ref="G196:H196"/>
    <mergeCell ref="G197:H197"/>
    <mergeCell ref="G208:H208"/>
    <mergeCell ref="G209:H209"/>
    <mergeCell ref="C195:D195"/>
    <mergeCell ref="C210:D210"/>
    <mergeCell ref="G210:H210"/>
    <mergeCell ref="C198:D198"/>
    <mergeCell ref="G174:H174"/>
    <mergeCell ref="G175:H175"/>
    <mergeCell ref="K174:L174"/>
    <mergeCell ref="K175:L175"/>
    <mergeCell ref="K176:L176"/>
    <mergeCell ref="K177:L177"/>
    <mergeCell ref="K178:L178"/>
    <mergeCell ref="K180:L180"/>
    <mergeCell ref="K186:L187"/>
    <mergeCell ref="K188:L188"/>
    <mergeCell ref="K189:L189"/>
    <mergeCell ref="I186:I187"/>
    <mergeCell ref="C178:D178"/>
    <mergeCell ref="C180:D180"/>
    <mergeCell ref="G176:H176"/>
    <mergeCell ref="G177:H177"/>
    <mergeCell ref="G178:H178"/>
    <mergeCell ref="C191:D191"/>
    <mergeCell ref="C193:D193"/>
    <mergeCell ref="K179:L179"/>
    <mergeCell ref="K192:L192"/>
    <mergeCell ref="G192:H192"/>
    <mergeCell ref="C192:D192"/>
    <mergeCell ref="B150:B151"/>
    <mergeCell ref="G118:G120"/>
    <mergeCell ref="H118:H120"/>
    <mergeCell ref="C150:D151"/>
    <mergeCell ref="E150:E151"/>
    <mergeCell ref="F150:F151"/>
    <mergeCell ref="G150:H151"/>
    <mergeCell ref="I150:I151"/>
    <mergeCell ref="F86:F87"/>
    <mergeCell ref="B116:F117"/>
    <mergeCell ref="M86:M87"/>
    <mergeCell ref="C158:D158"/>
    <mergeCell ref="G158:H158"/>
    <mergeCell ref="K158:L158"/>
    <mergeCell ref="C159:D159"/>
    <mergeCell ref="G159:H159"/>
    <mergeCell ref="I116:I122"/>
    <mergeCell ref="G121:G122"/>
    <mergeCell ref="H121:H122"/>
    <mergeCell ref="F118:F122"/>
    <mergeCell ref="E118:E122"/>
    <mergeCell ref="C153:D153"/>
    <mergeCell ref="G153:H153"/>
    <mergeCell ref="K153:L153"/>
    <mergeCell ref="C154:D154"/>
    <mergeCell ref="G154:H154"/>
    <mergeCell ref="K150:L151"/>
    <mergeCell ref="C152:D152"/>
    <mergeCell ref="G152:H152"/>
    <mergeCell ref="K152:L152"/>
    <mergeCell ref="J168:J169"/>
    <mergeCell ref="K168:L169"/>
    <mergeCell ref="K170:L170"/>
    <mergeCell ref="K171:L171"/>
    <mergeCell ref="G59:I59"/>
    <mergeCell ref="F59:F60"/>
    <mergeCell ref="C160:D160"/>
    <mergeCell ref="G160:H160"/>
    <mergeCell ref="K160:L160"/>
    <mergeCell ref="C161:D161"/>
    <mergeCell ref="G161:H161"/>
    <mergeCell ref="K161:L161"/>
    <mergeCell ref="C162:D162"/>
    <mergeCell ref="G162:H162"/>
    <mergeCell ref="K162:L162"/>
    <mergeCell ref="I32:J32"/>
    <mergeCell ref="G155:H155"/>
    <mergeCell ref="K155:L155"/>
    <mergeCell ref="A204:A205"/>
    <mergeCell ref="B204:B205"/>
    <mergeCell ref="A186:A187"/>
    <mergeCell ref="B186:B187"/>
    <mergeCell ref="A168:A169"/>
    <mergeCell ref="B168:B169"/>
    <mergeCell ref="K190:L190"/>
    <mergeCell ref="K191:L191"/>
    <mergeCell ref="K193:L193"/>
    <mergeCell ref="K194:L194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J186:J187"/>
    <mergeCell ref="A150:A151"/>
    <mergeCell ref="I168:I169"/>
    <mergeCell ref="G173:H173"/>
    <mergeCell ref="G170:H170"/>
    <mergeCell ref="G171:H171"/>
    <mergeCell ref="K172:L172"/>
    <mergeCell ref="G172:H172"/>
    <mergeCell ref="K2:L2"/>
    <mergeCell ref="K1:L1"/>
    <mergeCell ref="C3:D3"/>
    <mergeCell ref="L32:L33"/>
    <mergeCell ref="K32:K33"/>
    <mergeCell ref="H32:H33"/>
    <mergeCell ref="J116:J117"/>
    <mergeCell ref="K116:K117"/>
    <mergeCell ref="K118:K122"/>
    <mergeCell ref="J118:J122"/>
    <mergeCell ref="G157:H157"/>
    <mergeCell ref="K157:L157"/>
    <mergeCell ref="I5:I6"/>
    <mergeCell ref="J5:J6"/>
    <mergeCell ref="K3:L3"/>
    <mergeCell ref="K154:L154"/>
    <mergeCell ref="K173:L173"/>
    <mergeCell ref="K159:L159"/>
    <mergeCell ref="F32:G32"/>
    <mergeCell ref="H86:L86"/>
    <mergeCell ref="J59:M59"/>
    <mergeCell ref="M32:M33"/>
    <mergeCell ref="E1:I3"/>
    <mergeCell ref="C2:D2"/>
    <mergeCell ref="C1:D1"/>
    <mergeCell ref="C168:D169"/>
    <mergeCell ref="G116:H117"/>
    <mergeCell ref="D118:D122"/>
    <mergeCell ref="B118:C122"/>
    <mergeCell ref="B114:C114"/>
    <mergeCell ref="G86:G87"/>
    <mergeCell ref="F5:F6"/>
    <mergeCell ref="G5:G6"/>
    <mergeCell ref="H5:H6"/>
    <mergeCell ref="K5:K6"/>
    <mergeCell ref="L5:L6"/>
    <mergeCell ref="E168:E169"/>
    <mergeCell ref="F168:F169"/>
    <mergeCell ref="G168:H169"/>
    <mergeCell ref="E5:E6"/>
    <mergeCell ref="C157:D157"/>
    <mergeCell ref="K156:L156"/>
    <mergeCell ref="M5:M6"/>
  </mergeCells>
  <conditionalFormatting sqref="A152:A162 C152:D162">
    <cfRule type="expression" dxfId="11" priority="114">
      <formula>OR($B152&gt;0,$B152&lt;0)</formula>
    </cfRule>
  </conditionalFormatting>
  <conditionalFormatting sqref="E152:E162 G152:H162">
    <cfRule type="expression" dxfId="10" priority="103">
      <formula>OR($F152&gt;0,$F152&lt;0)</formula>
    </cfRule>
  </conditionalFormatting>
  <conditionalFormatting sqref="I152:I162 K152:L162">
    <cfRule type="expression" dxfId="9" priority="93">
      <formula>OR($J152&gt;0,$J152&lt;0)</formula>
    </cfRule>
  </conditionalFormatting>
  <conditionalFormatting sqref="C170:D180">
    <cfRule type="expression" dxfId="8" priority="85">
      <formula>OR($B170&gt;0,$B170&lt;0)</formula>
    </cfRule>
  </conditionalFormatting>
  <conditionalFormatting sqref="G170:H180">
    <cfRule type="expression" dxfId="7" priority="75">
      <formula>OR($F170&gt;0,$F170&lt;0)</formula>
    </cfRule>
  </conditionalFormatting>
  <conditionalFormatting sqref="K170:L180">
    <cfRule type="expression" dxfId="6" priority="65">
      <formula>OR($J170&gt;0,$J170&lt;0)</formula>
    </cfRule>
  </conditionalFormatting>
  <conditionalFormatting sqref="C188:D198">
    <cfRule type="expression" dxfId="5" priority="57">
      <formula>OR($B188&gt;0,$B188&lt;0)</formula>
    </cfRule>
  </conditionalFormatting>
  <conditionalFormatting sqref="G188:H198">
    <cfRule type="expression" dxfId="4" priority="47">
      <formula>OR($F188&gt;0,$F188&lt;0)</formula>
    </cfRule>
  </conditionalFormatting>
  <conditionalFormatting sqref="K188:L198">
    <cfRule type="expression" dxfId="3" priority="37">
      <formula>OR($J188&gt;0,$J188&lt;0)</formula>
    </cfRule>
  </conditionalFormatting>
  <conditionalFormatting sqref="C206:D216">
    <cfRule type="expression" dxfId="2" priority="29">
      <formula>OR($B206&gt;0,$B206&lt;0)</formula>
    </cfRule>
  </conditionalFormatting>
  <conditionalFormatting sqref="G206:H216">
    <cfRule type="expression" dxfId="1" priority="18">
      <formula>OR($F206&gt;0,$F206&lt;0)</formula>
    </cfRule>
  </conditionalFormatting>
  <conditionalFormatting sqref="K206:L216">
    <cfRule type="expression" dxfId="0" priority="8">
      <formula>OR($J206&gt;0,$J206&lt;0)</formula>
    </cfRule>
  </conditionalFormatting>
  <dataValidations disablePrompts="1" count="1">
    <dataValidation type="list" allowBlank="1" showInputMessage="1" showErrorMessage="1" sqref="K1" xr:uid="{00000000-0002-0000-0000-000000000000}">
      <formula1>"M1,M2,M3/Q1,M4,M5,M6/Q2,M7,M8,M9/Q3,M10,M11,M12/Q4"</formula1>
    </dataValidation>
  </dataValidations>
  <printOptions horizontalCentered="1"/>
  <pageMargins left="0.7" right="0.7" top="0.75" bottom="0.75" header="0.3" footer="0.3"/>
  <pageSetup scale="47" fitToHeight="0" orientation="landscape" horizontalDpi="1200" verticalDpi="1200" r:id="rId1"/>
  <headerFooter>
    <oddHeader>&amp;L&amp;D &amp;" ,Regular"&amp;T</oddHeader>
    <oddFooter>&amp;R&amp;P of &amp;N</oddFooter>
  </headerFooter>
  <rowBreaks count="3" manualBreakCount="3">
    <brk id="57" max="16383" man="1"/>
    <brk id="112" max="16383" man="1"/>
    <brk id="16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xr:uid="{8FB94B2E-AFF3-4F4D-9CA4-0FAE8D599633}">
          <x14:formula1>
            <xm:f>OFFSET(PED_ONLY!$J$2,,,COUNTIF(PED_ONLY!$J$1:$J$257,"?*")-1)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52"/>
  <sheetViews>
    <sheetView zoomScale="220" zoomScaleNormal="220" workbookViewId="0">
      <selection activeCell="C92" sqref="C92"/>
    </sheetView>
  </sheetViews>
  <sheetFormatPr defaultColWidth="8.85546875" defaultRowHeight="15" x14ac:dyDescent="0.25"/>
  <sheetData>
    <row r="1" spans="1:11" ht="15.75" x14ac:dyDescent="0.25">
      <c r="A1" s="221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1" x14ac:dyDescent="0.25">
      <c r="A2" s="40"/>
      <c r="K2" s="41"/>
    </row>
    <row r="3" spans="1:11" x14ac:dyDescent="0.25">
      <c r="A3" s="40"/>
      <c r="B3" s="42" t="s">
        <v>180</v>
      </c>
      <c r="K3" s="41"/>
    </row>
    <row r="4" spans="1:11" x14ac:dyDescent="0.25">
      <c r="A4" s="40"/>
      <c r="B4" s="42" t="s">
        <v>179</v>
      </c>
      <c r="K4" s="41"/>
    </row>
    <row r="5" spans="1:11" x14ac:dyDescent="0.25">
      <c r="A5" s="40"/>
      <c r="K5" s="41"/>
    </row>
    <row r="6" spans="1:11" x14ac:dyDescent="0.25">
      <c r="A6" s="40"/>
      <c r="B6" t="s">
        <v>203</v>
      </c>
      <c r="K6" s="41"/>
    </row>
    <row r="7" spans="1:11" x14ac:dyDescent="0.25">
      <c r="A7" s="40"/>
      <c r="B7" t="s">
        <v>204</v>
      </c>
      <c r="K7" s="41"/>
    </row>
    <row r="8" spans="1:11" ht="15.75" thickBot="1" x14ac:dyDescent="0.3">
      <c r="A8" s="40"/>
      <c r="K8" s="41"/>
    </row>
    <row r="9" spans="1:11" x14ac:dyDescent="0.25">
      <c r="A9" s="40"/>
      <c r="B9" s="43" t="s">
        <v>178</v>
      </c>
      <c r="C9" s="44"/>
      <c r="D9" s="44"/>
      <c r="E9" s="44"/>
      <c r="F9" s="44"/>
      <c r="G9" s="44"/>
      <c r="H9" s="44"/>
      <c r="I9" s="44"/>
      <c r="J9" s="45"/>
      <c r="K9" s="41"/>
    </row>
    <row r="10" spans="1:11" x14ac:dyDescent="0.25">
      <c r="A10" s="40"/>
      <c r="B10" s="46" t="s">
        <v>177</v>
      </c>
      <c r="C10" s="47"/>
      <c r="D10" s="47"/>
      <c r="E10" s="47"/>
      <c r="F10" s="47"/>
      <c r="G10" s="47"/>
      <c r="H10" s="47"/>
      <c r="I10" s="47"/>
      <c r="J10" s="48"/>
      <c r="K10" s="41"/>
    </row>
    <row r="11" spans="1:11" x14ac:dyDescent="0.25">
      <c r="A11" s="40"/>
      <c r="B11" s="46" t="s">
        <v>176</v>
      </c>
      <c r="C11" s="47"/>
      <c r="D11" s="47"/>
      <c r="E11" s="47"/>
      <c r="F11" s="47"/>
      <c r="G11" s="47"/>
      <c r="H11" s="47"/>
      <c r="I11" s="47"/>
      <c r="J11" s="48"/>
      <c r="K11" s="41"/>
    </row>
    <row r="12" spans="1:11" x14ac:dyDescent="0.25">
      <c r="A12" s="40"/>
      <c r="B12" s="46" t="s">
        <v>175</v>
      </c>
      <c r="C12" s="47"/>
      <c r="D12" s="47"/>
      <c r="E12" s="47"/>
      <c r="F12" s="47"/>
      <c r="G12" s="47"/>
      <c r="H12" s="47"/>
      <c r="I12" s="47"/>
      <c r="J12" s="48"/>
      <c r="K12" s="41"/>
    </row>
    <row r="13" spans="1:11" x14ac:dyDescent="0.25">
      <c r="A13" s="40"/>
      <c r="B13" s="46" t="s">
        <v>174</v>
      </c>
      <c r="C13" s="47"/>
      <c r="D13" s="47"/>
      <c r="E13" s="47"/>
      <c r="F13" s="47"/>
      <c r="G13" s="47"/>
      <c r="H13" s="47"/>
      <c r="I13" s="47"/>
      <c r="J13" s="48"/>
      <c r="K13" s="41"/>
    </row>
    <row r="14" spans="1:11" x14ac:dyDescent="0.25">
      <c r="A14" s="40"/>
      <c r="B14" s="46" t="s">
        <v>173</v>
      </c>
      <c r="C14" s="47"/>
      <c r="D14" s="47"/>
      <c r="E14" s="47"/>
      <c r="F14" s="47"/>
      <c r="G14" s="47"/>
      <c r="H14" s="47"/>
      <c r="I14" s="47"/>
      <c r="J14" s="48"/>
      <c r="K14" s="41"/>
    </row>
    <row r="15" spans="1:11" ht="15.75" thickBot="1" x14ac:dyDescent="0.3">
      <c r="A15" s="40"/>
      <c r="B15" s="49" t="s">
        <v>172</v>
      </c>
      <c r="C15" s="50"/>
      <c r="D15" s="50"/>
      <c r="E15" s="50"/>
      <c r="F15" s="50"/>
      <c r="G15" s="50"/>
      <c r="H15" s="50"/>
      <c r="I15" s="50"/>
      <c r="J15" s="51"/>
      <c r="K15" s="41"/>
    </row>
    <row r="16" spans="1:11" x14ac:dyDescent="0.25">
      <c r="A16" s="40"/>
      <c r="K16" s="41"/>
    </row>
    <row r="17" spans="1:11" x14ac:dyDescent="0.25">
      <c r="A17" s="40"/>
      <c r="B17" s="52" t="s">
        <v>89</v>
      </c>
      <c r="K17" s="41"/>
    </row>
    <row r="18" spans="1:11" x14ac:dyDescent="0.25">
      <c r="A18" s="40"/>
      <c r="C18" t="s">
        <v>171</v>
      </c>
      <c r="K18" s="41"/>
    </row>
    <row r="19" spans="1:11" x14ac:dyDescent="0.25">
      <c r="A19" s="40"/>
      <c r="C19" t="s">
        <v>170</v>
      </c>
      <c r="K19" s="41"/>
    </row>
    <row r="20" spans="1:11" x14ac:dyDescent="0.25">
      <c r="A20" s="40"/>
      <c r="C20" t="s">
        <v>169</v>
      </c>
      <c r="K20" s="41"/>
    </row>
    <row r="21" spans="1:11" x14ac:dyDescent="0.25">
      <c r="A21" s="40"/>
      <c r="C21" t="s">
        <v>168</v>
      </c>
      <c r="K21" s="41"/>
    </row>
    <row r="22" spans="1:11" x14ac:dyDescent="0.25">
      <c r="A22" s="40"/>
      <c r="C22" t="s">
        <v>167</v>
      </c>
      <c r="K22" s="41"/>
    </row>
    <row r="23" spans="1:11" x14ac:dyDescent="0.25">
      <c r="A23" s="40"/>
      <c r="C23" t="s">
        <v>166</v>
      </c>
      <c r="K23" s="41"/>
    </row>
    <row r="24" spans="1:11" x14ac:dyDescent="0.25">
      <c r="A24" s="40"/>
      <c r="K24" s="41"/>
    </row>
    <row r="25" spans="1:11" x14ac:dyDescent="0.25">
      <c r="A25" s="40"/>
      <c r="B25" s="52" t="s">
        <v>91</v>
      </c>
      <c r="K25" s="41"/>
    </row>
    <row r="26" spans="1:11" x14ac:dyDescent="0.25">
      <c r="A26" s="40"/>
      <c r="C26" t="s">
        <v>156</v>
      </c>
      <c r="K26" s="41"/>
    </row>
    <row r="27" spans="1:11" x14ac:dyDescent="0.25">
      <c r="A27" s="40"/>
      <c r="C27" t="s">
        <v>165</v>
      </c>
      <c r="K27" s="41"/>
    </row>
    <row r="28" spans="1:11" x14ac:dyDescent="0.25">
      <c r="A28" s="40"/>
      <c r="C28" t="s">
        <v>164</v>
      </c>
      <c r="K28" s="41"/>
    </row>
    <row r="29" spans="1:11" x14ac:dyDescent="0.25">
      <c r="A29" s="40"/>
      <c r="C29" t="s">
        <v>163</v>
      </c>
      <c r="K29" s="41"/>
    </row>
    <row r="30" spans="1:11" x14ac:dyDescent="0.25">
      <c r="A30" s="40"/>
      <c r="C30" t="s">
        <v>162</v>
      </c>
      <c r="K30" s="41"/>
    </row>
    <row r="31" spans="1:11" x14ac:dyDescent="0.25">
      <c r="A31" s="40"/>
      <c r="C31" t="s">
        <v>161</v>
      </c>
      <c r="K31" s="41"/>
    </row>
    <row r="32" spans="1:11" x14ac:dyDescent="0.25">
      <c r="A32" s="40"/>
      <c r="K32" s="41"/>
    </row>
    <row r="33" spans="1:11" x14ac:dyDescent="0.25">
      <c r="A33" s="40"/>
      <c r="B33" s="52" t="s">
        <v>88</v>
      </c>
      <c r="K33" s="41"/>
    </row>
    <row r="34" spans="1:11" x14ac:dyDescent="0.25">
      <c r="A34" s="40"/>
      <c r="C34" t="s">
        <v>160</v>
      </c>
      <c r="K34" s="41"/>
    </row>
    <row r="35" spans="1:11" x14ac:dyDescent="0.25">
      <c r="A35" s="40"/>
      <c r="C35" t="s">
        <v>205</v>
      </c>
      <c r="K35" s="41"/>
    </row>
    <row r="36" spans="1:11" x14ac:dyDescent="0.25">
      <c r="A36" s="40"/>
      <c r="C36" t="s">
        <v>159</v>
      </c>
      <c r="K36" s="41"/>
    </row>
    <row r="37" spans="1:11" x14ac:dyDescent="0.25">
      <c r="A37" s="40"/>
      <c r="C37" t="s">
        <v>158</v>
      </c>
      <c r="K37" s="41"/>
    </row>
    <row r="38" spans="1:11" x14ac:dyDescent="0.25">
      <c r="A38" s="40"/>
      <c r="K38" s="41"/>
    </row>
    <row r="39" spans="1:11" x14ac:dyDescent="0.25">
      <c r="A39" s="40"/>
      <c r="B39" s="52" t="s">
        <v>87</v>
      </c>
      <c r="K39" s="41"/>
    </row>
    <row r="40" spans="1:11" x14ac:dyDescent="0.25">
      <c r="A40" s="40"/>
      <c r="C40" t="s">
        <v>157</v>
      </c>
      <c r="K40" s="41"/>
    </row>
    <row r="41" spans="1:11" x14ac:dyDescent="0.25">
      <c r="A41" s="40"/>
      <c r="K41" s="41"/>
    </row>
    <row r="42" spans="1:11" x14ac:dyDescent="0.25">
      <c r="A42" s="40"/>
      <c r="B42" s="52" t="s">
        <v>181</v>
      </c>
      <c r="K42" s="41"/>
    </row>
    <row r="43" spans="1:11" x14ac:dyDescent="0.25">
      <c r="A43" s="40"/>
      <c r="C43" t="s">
        <v>156</v>
      </c>
      <c r="K43" s="41"/>
    </row>
    <row r="44" spans="1:11" x14ac:dyDescent="0.25">
      <c r="A44" s="40"/>
      <c r="C44" t="s">
        <v>155</v>
      </c>
      <c r="K44" s="41"/>
    </row>
    <row r="45" spans="1:11" x14ac:dyDescent="0.25">
      <c r="A45" s="40"/>
      <c r="C45" t="s">
        <v>154</v>
      </c>
      <c r="K45" s="41"/>
    </row>
    <row r="46" spans="1:11" x14ac:dyDescent="0.25">
      <c r="A46" s="40"/>
      <c r="C46" t="s">
        <v>153</v>
      </c>
      <c r="K46" s="41"/>
    </row>
    <row r="47" spans="1:11" ht="15.75" thickBot="1" x14ac:dyDescent="0.3">
      <c r="A47" s="40"/>
      <c r="C47" t="s">
        <v>152</v>
      </c>
      <c r="K47" s="41"/>
    </row>
    <row r="48" spans="1:11" ht="19.5" thickTop="1" x14ac:dyDescent="0.3">
      <c r="A48" s="53"/>
      <c r="B48" s="54">
        <v>1</v>
      </c>
      <c r="C48" s="55" t="s">
        <v>99</v>
      </c>
      <c r="D48" s="55"/>
      <c r="E48" s="55"/>
      <c r="F48" s="55"/>
      <c r="G48" s="55"/>
      <c r="H48" s="55"/>
      <c r="I48" s="55"/>
      <c r="J48" s="55"/>
      <c r="K48" s="56"/>
    </row>
    <row r="49" spans="1:11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9"/>
    </row>
    <row r="50" spans="1:11" x14ac:dyDescent="0.25">
      <c r="A50" s="40"/>
      <c r="B50" s="52" t="s">
        <v>86</v>
      </c>
      <c r="K50" s="41"/>
    </row>
    <row r="51" spans="1:11" x14ac:dyDescent="0.25">
      <c r="A51" s="40"/>
      <c r="C51" t="s">
        <v>151</v>
      </c>
      <c r="K51" s="41"/>
    </row>
    <row r="52" spans="1:11" x14ac:dyDescent="0.25">
      <c r="A52" s="40"/>
      <c r="C52" t="s">
        <v>150</v>
      </c>
      <c r="K52" s="41"/>
    </row>
    <row r="53" spans="1:11" x14ac:dyDescent="0.25">
      <c r="A53" s="40"/>
      <c r="C53" t="s">
        <v>149</v>
      </c>
      <c r="K53" s="41"/>
    </row>
    <row r="54" spans="1:11" x14ac:dyDescent="0.25">
      <c r="A54" s="40"/>
      <c r="C54" t="s">
        <v>148</v>
      </c>
      <c r="K54" s="41"/>
    </row>
    <row r="55" spans="1:11" x14ac:dyDescent="0.25">
      <c r="A55" s="40"/>
      <c r="C55" t="s">
        <v>147</v>
      </c>
      <c r="K55" s="41"/>
    </row>
    <row r="56" spans="1:11" x14ac:dyDescent="0.25">
      <c r="A56" s="40"/>
      <c r="C56" t="s">
        <v>146</v>
      </c>
      <c r="K56" s="41"/>
    </row>
    <row r="57" spans="1:11" x14ac:dyDescent="0.25">
      <c r="A57" s="40"/>
      <c r="C57" t="s">
        <v>145</v>
      </c>
      <c r="K57" s="41"/>
    </row>
    <row r="58" spans="1:11" x14ac:dyDescent="0.25">
      <c r="A58" s="40"/>
      <c r="C58" s="60" t="s">
        <v>126</v>
      </c>
      <c r="K58" s="41"/>
    </row>
    <row r="59" spans="1:11" x14ac:dyDescent="0.25">
      <c r="A59" s="40"/>
      <c r="K59" s="41"/>
    </row>
    <row r="60" spans="1:11" x14ac:dyDescent="0.25">
      <c r="A60" s="40"/>
      <c r="B60" s="52" t="s">
        <v>85</v>
      </c>
      <c r="K60" s="41"/>
    </row>
    <row r="61" spans="1:11" x14ac:dyDescent="0.25">
      <c r="A61" s="40"/>
      <c r="C61" t="s">
        <v>144</v>
      </c>
      <c r="K61" s="41"/>
    </row>
    <row r="62" spans="1:11" x14ac:dyDescent="0.25">
      <c r="A62" s="40"/>
      <c r="C62" t="s">
        <v>206</v>
      </c>
      <c r="K62" s="41"/>
    </row>
    <row r="63" spans="1:11" x14ac:dyDescent="0.25">
      <c r="A63" s="40"/>
      <c r="C63" t="s">
        <v>143</v>
      </c>
      <c r="K63" s="41"/>
    </row>
    <row r="64" spans="1:11" x14ac:dyDescent="0.25">
      <c r="A64" s="40"/>
      <c r="K64" s="41"/>
    </row>
    <row r="65" spans="1:11" x14ac:dyDescent="0.25">
      <c r="A65" s="40"/>
      <c r="B65" s="52" t="s">
        <v>84</v>
      </c>
      <c r="K65" s="41"/>
    </row>
    <row r="66" spans="1:11" x14ac:dyDescent="0.25">
      <c r="A66" s="40"/>
      <c r="C66" t="s">
        <v>142</v>
      </c>
      <c r="K66" s="41"/>
    </row>
    <row r="67" spans="1:11" x14ac:dyDescent="0.25">
      <c r="A67" s="40"/>
      <c r="C67" t="s">
        <v>141</v>
      </c>
      <c r="K67" s="41"/>
    </row>
    <row r="68" spans="1:11" x14ac:dyDescent="0.25">
      <c r="A68" s="40"/>
      <c r="C68" t="s">
        <v>140</v>
      </c>
      <c r="K68" s="41"/>
    </row>
    <row r="69" spans="1:11" x14ac:dyDescent="0.25">
      <c r="A69" s="40"/>
      <c r="C69" t="s">
        <v>139</v>
      </c>
      <c r="K69" s="41"/>
    </row>
    <row r="70" spans="1:11" x14ac:dyDescent="0.25">
      <c r="A70" s="40"/>
      <c r="C70" t="s">
        <v>138</v>
      </c>
      <c r="K70" s="41"/>
    </row>
    <row r="71" spans="1:11" x14ac:dyDescent="0.25">
      <c r="A71" s="40"/>
      <c r="C71" s="60" t="s">
        <v>137</v>
      </c>
      <c r="K71" s="41"/>
    </row>
    <row r="72" spans="1:11" ht="15.75" thickBot="1" x14ac:dyDescent="0.3">
      <c r="A72" s="40"/>
      <c r="K72" s="41"/>
    </row>
    <row r="73" spans="1:11" x14ac:dyDescent="0.25">
      <c r="A73" s="40"/>
      <c r="C73" s="61" t="s">
        <v>136</v>
      </c>
      <c r="D73" s="62"/>
      <c r="E73" s="62"/>
      <c r="F73" s="62"/>
      <c r="G73" s="62"/>
      <c r="H73" s="62"/>
      <c r="I73" s="63"/>
      <c r="K73" s="41"/>
    </row>
    <row r="74" spans="1:11" ht="15.75" thickBot="1" x14ac:dyDescent="0.3">
      <c r="A74" s="40"/>
      <c r="C74" s="64" t="s">
        <v>135</v>
      </c>
      <c r="D74" s="65"/>
      <c r="E74" s="65"/>
      <c r="F74" s="65"/>
      <c r="G74" s="65"/>
      <c r="H74" s="65"/>
      <c r="I74" s="66"/>
      <c r="K74" s="41"/>
    </row>
    <row r="75" spans="1:11" x14ac:dyDescent="0.25">
      <c r="A75" s="40"/>
      <c r="K75" s="41"/>
    </row>
    <row r="76" spans="1:11" x14ac:dyDescent="0.25">
      <c r="A76" s="40"/>
      <c r="B76" s="52" t="s">
        <v>83</v>
      </c>
      <c r="K76" s="41"/>
    </row>
    <row r="77" spans="1:11" x14ac:dyDescent="0.25">
      <c r="A77" s="40"/>
      <c r="C77" t="s">
        <v>134</v>
      </c>
      <c r="K77" s="41"/>
    </row>
    <row r="78" spans="1:11" x14ac:dyDescent="0.25">
      <c r="A78" s="40"/>
      <c r="C78" t="s">
        <v>207</v>
      </c>
      <c r="K78" s="41"/>
    </row>
    <row r="79" spans="1:11" x14ac:dyDescent="0.25">
      <c r="A79" s="40"/>
      <c r="C79" t="s">
        <v>208</v>
      </c>
      <c r="K79" s="41"/>
    </row>
    <row r="80" spans="1:11" x14ac:dyDescent="0.25">
      <c r="A80" s="40"/>
      <c r="C80" t="s">
        <v>133</v>
      </c>
      <c r="K80" s="41"/>
    </row>
    <row r="81" spans="1:11" x14ac:dyDescent="0.25">
      <c r="A81" s="40"/>
      <c r="C81" s="60" t="s">
        <v>126</v>
      </c>
      <c r="K81" s="41"/>
    </row>
    <row r="82" spans="1:11" x14ac:dyDescent="0.25">
      <c r="A82" s="40"/>
      <c r="K82" s="41"/>
    </row>
    <row r="83" spans="1:11" x14ac:dyDescent="0.25">
      <c r="A83" s="40"/>
      <c r="B83" s="52" t="s">
        <v>82</v>
      </c>
      <c r="K83" s="41"/>
    </row>
    <row r="84" spans="1:11" x14ac:dyDescent="0.25">
      <c r="A84" s="40"/>
      <c r="C84" t="s">
        <v>132</v>
      </c>
      <c r="K84" s="41"/>
    </row>
    <row r="85" spans="1:11" x14ac:dyDescent="0.25">
      <c r="A85" s="40"/>
      <c r="C85" t="s">
        <v>131</v>
      </c>
      <c r="K85" s="41"/>
    </row>
    <row r="86" spans="1:11" x14ac:dyDescent="0.25">
      <c r="A86" s="40"/>
      <c r="K86" s="41"/>
    </row>
    <row r="87" spans="1:11" x14ac:dyDescent="0.25">
      <c r="A87" s="40"/>
      <c r="B87" s="52" t="s">
        <v>81</v>
      </c>
      <c r="K87" s="41"/>
    </row>
    <row r="88" spans="1:11" x14ac:dyDescent="0.25">
      <c r="A88" s="40"/>
      <c r="C88" t="s">
        <v>130</v>
      </c>
      <c r="K88" s="41"/>
    </row>
    <row r="89" spans="1:11" x14ac:dyDescent="0.25">
      <c r="A89" s="40"/>
      <c r="C89" t="s">
        <v>129</v>
      </c>
      <c r="K89" s="41"/>
    </row>
    <row r="90" spans="1:11" x14ac:dyDescent="0.25">
      <c r="A90" s="40"/>
      <c r="C90" t="s">
        <v>128</v>
      </c>
      <c r="K90" s="41"/>
    </row>
    <row r="91" spans="1:11" x14ac:dyDescent="0.25">
      <c r="A91" s="40"/>
      <c r="C91" t="s">
        <v>127</v>
      </c>
      <c r="K91" s="41"/>
    </row>
    <row r="92" spans="1:11" x14ac:dyDescent="0.25">
      <c r="A92" s="40"/>
      <c r="C92" s="60" t="s">
        <v>126</v>
      </c>
      <c r="K92" s="41"/>
    </row>
    <row r="93" spans="1:11" x14ac:dyDescent="0.25">
      <c r="A93" s="40"/>
      <c r="K93" s="41"/>
    </row>
    <row r="94" spans="1:11" x14ac:dyDescent="0.25">
      <c r="A94" s="40"/>
      <c r="B94" s="52" t="s">
        <v>80</v>
      </c>
      <c r="K94" s="41"/>
    </row>
    <row r="95" spans="1:11" x14ac:dyDescent="0.25">
      <c r="A95" s="40"/>
      <c r="C95" t="s">
        <v>79</v>
      </c>
      <c r="K95" s="41"/>
    </row>
    <row r="96" spans="1:11" x14ac:dyDescent="0.25">
      <c r="A96" s="40"/>
      <c r="K96" s="41"/>
    </row>
    <row r="97" spans="1:11" x14ac:dyDescent="0.25">
      <c r="A97" s="40"/>
      <c r="K97" s="41"/>
    </row>
    <row r="98" spans="1:11" x14ac:dyDescent="0.25">
      <c r="A98" s="40"/>
      <c r="K98" s="41"/>
    </row>
    <row r="99" spans="1:11" ht="15.75" thickBot="1" x14ac:dyDescent="0.3">
      <c r="A99" s="40"/>
      <c r="K99" s="41"/>
    </row>
    <row r="100" spans="1:11" ht="19.5" thickTop="1" x14ac:dyDescent="0.3">
      <c r="A100" s="53"/>
      <c r="B100" s="54">
        <v>2</v>
      </c>
      <c r="C100" s="55" t="str">
        <f>C48</f>
        <v>Revised 07-09-2020</v>
      </c>
      <c r="D100" s="55"/>
      <c r="E100" s="55"/>
      <c r="F100" s="55"/>
      <c r="G100" s="55"/>
      <c r="H100" s="55"/>
      <c r="I100" s="55"/>
      <c r="J100" s="55"/>
      <c r="K100" s="56"/>
    </row>
    <row r="101" spans="1:11" x14ac:dyDescent="0.2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9"/>
    </row>
    <row r="102" spans="1:11" ht="18.75" x14ac:dyDescent="0.3">
      <c r="A102" s="224" t="s">
        <v>78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6"/>
    </row>
    <row r="103" spans="1:11" x14ac:dyDescent="0.25">
      <c r="A103" s="40"/>
      <c r="K103" s="41"/>
    </row>
    <row r="104" spans="1:11" x14ac:dyDescent="0.25">
      <c r="A104" s="40"/>
      <c r="B104" t="s">
        <v>77</v>
      </c>
      <c r="K104" s="41"/>
    </row>
    <row r="105" spans="1:11" x14ac:dyDescent="0.25">
      <c r="A105" s="40"/>
      <c r="K105" s="41"/>
    </row>
    <row r="106" spans="1:11" x14ac:dyDescent="0.25">
      <c r="A106" s="40"/>
      <c r="C106" t="s">
        <v>125</v>
      </c>
      <c r="K106" s="41"/>
    </row>
    <row r="107" spans="1:11" x14ac:dyDescent="0.25">
      <c r="A107" s="40"/>
      <c r="C107" t="s">
        <v>124</v>
      </c>
      <c r="K107" s="41"/>
    </row>
    <row r="108" spans="1:11" x14ac:dyDescent="0.25">
      <c r="A108" s="40"/>
      <c r="C108" t="s">
        <v>123</v>
      </c>
      <c r="K108" s="41"/>
    </row>
    <row r="109" spans="1:11" x14ac:dyDescent="0.25">
      <c r="A109" s="40"/>
      <c r="C109" t="s">
        <v>122</v>
      </c>
      <c r="K109" s="41"/>
    </row>
    <row r="110" spans="1:11" x14ac:dyDescent="0.25">
      <c r="A110" s="40"/>
      <c r="C110" t="s">
        <v>121</v>
      </c>
      <c r="K110" s="41"/>
    </row>
    <row r="111" spans="1:11" x14ac:dyDescent="0.25">
      <c r="A111" s="40"/>
      <c r="C111" t="s">
        <v>120</v>
      </c>
      <c r="K111" s="41"/>
    </row>
    <row r="112" spans="1:11" x14ac:dyDescent="0.25">
      <c r="A112" s="40"/>
      <c r="C112" t="s">
        <v>119</v>
      </c>
      <c r="K112" s="41"/>
    </row>
    <row r="113" spans="1:11" x14ac:dyDescent="0.25">
      <c r="A113" s="40"/>
      <c r="C113" t="s">
        <v>118</v>
      </c>
      <c r="K113" s="41"/>
    </row>
    <row r="114" spans="1:11" x14ac:dyDescent="0.25">
      <c r="A114" s="40"/>
      <c r="C114" t="s">
        <v>117</v>
      </c>
      <c r="K114" s="41"/>
    </row>
    <row r="115" spans="1:11" x14ac:dyDescent="0.25">
      <c r="A115" s="40"/>
      <c r="K115" s="41"/>
    </row>
    <row r="116" spans="1:11" x14ac:dyDescent="0.25">
      <c r="A116" s="40"/>
      <c r="B116" t="s">
        <v>76</v>
      </c>
      <c r="K116" s="41"/>
    </row>
    <row r="117" spans="1:11" x14ac:dyDescent="0.25">
      <c r="A117" s="40"/>
      <c r="C117" t="s">
        <v>116</v>
      </c>
      <c r="K117" s="41"/>
    </row>
    <row r="118" spans="1:11" x14ac:dyDescent="0.25">
      <c r="A118" s="40"/>
      <c r="C118" t="s">
        <v>115</v>
      </c>
      <c r="K118" s="41"/>
    </row>
    <row r="119" spans="1:11" x14ac:dyDescent="0.25">
      <c r="A119" s="40"/>
      <c r="C119" t="s">
        <v>114</v>
      </c>
      <c r="K119" s="41"/>
    </row>
    <row r="120" spans="1:11" x14ac:dyDescent="0.25">
      <c r="A120" s="40"/>
      <c r="C120" t="s">
        <v>113</v>
      </c>
      <c r="K120" s="41"/>
    </row>
    <row r="121" spans="1:11" x14ac:dyDescent="0.25">
      <c r="A121" s="40"/>
      <c r="C121" t="s">
        <v>112</v>
      </c>
      <c r="K121" s="41"/>
    </row>
    <row r="122" spans="1:11" x14ac:dyDescent="0.25">
      <c r="A122" s="40"/>
      <c r="C122" t="s">
        <v>111</v>
      </c>
      <c r="K122" s="41"/>
    </row>
    <row r="123" spans="1:11" x14ac:dyDescent="0.25">
      <c r="A123" s="40"/>
      <c r="K123" s="41"/>
    </row>
    <row r="124" spans="1:11" x14ac:dyDescent="0.25">
      <c r="A124" s="40"/>
      <c r="B124" t="s">
        <v>75</v>
      </c>
      <c r="K124" s="41"/>
    </row>
    <row r="125" spans="1:11" x14ac:dyDescent="0.25">
      <c r="A125" s="40"/>
      <c r="K125" s="41"/>
    </row>
    <row r="126" spans="1:11" x14ac:dyDescent="0.25">
      <c r="A126" s="40"/>
      <c r="C126" t="s">
        <v>110</v>
      </c>
      <c r="K126" s="41"/>
    </row>
    <row r="127" spans="1:11" x14ac:dyDescent="0.25">
      <c r="A127" s="40"/>
      <c r="K127" s="41"/>
    </row>
    <row r="128" spans="1:11" x14ac:dyDescent="0.25">
      <c r="A128" s="40"/>
      <c r="C128" t="s">
        <v>182</v>
      </c>
      <c r="K128" s="41"/>
    </row>
    <row r="129" spans="1:11" x14ac:dyDescent="0.25">
      <c r="A129" s="40"/>
      <c r="C129" t="s">
        <v>109</v>
      </c>
      <c r="K129" s="41"/>
    </row>
    <row r="130" spans="1:11" x14ac:dyDescent="0.25">
      <c r="A130" s="40"/>
      <c r="C130" t="s">
        <v>108</v>
      </c>
      <c r="K130" s="41"/>
    </row>
    <row r="131" spans="1:11" x14ac:dyDescent="0.25">
      <c r="A131" s="40"/>
      <c r="C131" t="s">
        <v>107</v>
      </c>
      <c r="K131" s="41"/>
    </row>
    <row r="132" spans="1:11" x14ac:dyDescent="0.25">
      <c r="A132" s="40"/>
      <c r="K132" s="41"/>
    </row>
    <row r="133" spans="1:11" x14ac:dyDescent="0.25">
      <c r="A133" s="40"/>
      <c r="C133" t="s">
        <v>106</v>
      </c>
      <c r="K133" s="41"/>
    </row>
    <row r="134" spans="1:11" x14ac:dyDescent="0.25">
      <c r="A134" s="40"/>
      <c r="C134" t="s">
        <v>105</v>
      </c>
      <c r="K134" s="41"/>
    </row>
    <row r="135" spans="1:11" x14ac:dyDescent="0.25">
      <c r="A135" s="40"/>
      <c r="C135" t="s">
        <v>104</v>
      </c>
      <c r="K135" s="41"/>
    </row>
    <row r="136" spans="1:11" x14ac:dyDescent="0.25">
      <c r="A136" s="40"/>
      <c r="K136" s="41"/>
    </row>
    <row r="137" spans="1:11" x14ac:dyDescent="0.25">
      <c r="A137" s="40"/>
      <c r="B137" s="52" t="s">
        <v>103</v>
      </c>
      <c r="K137" s="41"/>
    </row>
    <row r="138" spans="1:11" x14ac:dyDescent="0.25">
      <c r="A138" s="40"/>
      <c r="B138" s="52" t="s">
        <v>102</v>
      </c>
      <c r="K138" s="41"/>
    </row>
    <row r="139" spans="1:11" ht="15.75" thickBot="1" x14ac:dyDescent="0.3">
      <c r="A139" s="40"/>
      <c r="K139" s="41"/>
    </row>
    <row r="140" spans="1:11" x14ac:dyDescent="0.25">
      <c r="A140" s="40"/>
      <c r="B140" s="67" t="s">
        <v>101</v>
      </c>
      <c r="C140" s="62"/>
      <c r="D140" s="62"/>
      <c r="E140" s="62"/>
      <c r="F140" s="62"/>
      <c r="G140" s="62"/>
      <c r="H140" s="62"/>
      <c r="I140" s="62"/>
      <c r="J140" s="63"/>
      <c r="K140" s="41"/>
    </row>
    <row r="141" spans="1:11" ht="15.75" thickBot="1" x14ac:dyDescent="0.3">
      <c r="A141" s="40"/>
      <c r="B141" s="68" t="s">
        <v>100</v>
      </c>
      <c r="C141" s="65"/>
      <c r="D141" s="65"/>
      <c r="E141" s="65"/>
      <c r="F141" s="65"/>
      <c r="G141" s="65"/>
      <c r="H141" s="65"/>
      <c r="I141" s="65"/>
      <c r="J141" s="66"/>
      <c r="K141" s="41"/>
    </row>
    <row r="142" spans="1:11" x14ac:dyDescent="0.25">
      <c r="A142" s="40"/>
      <c r="K142" s="41"/>
    </row>
    <row r="143" spans="1:11" x14ac:dyDescent="0.25">
      <c r="A143" s="40"/>
      <c r="K143" s="41"/>
    </row>
    <row r="144" spans="1:11" x14ac:dyDescent="0.25">
      <c r="A144" s="40"/>
      <c r="K144" s="41"/>
    </row>
    <row r="145" spans="1:11" x14ac:dyDescent="0.25">
      <c r="A145" s="40"/>
      <c r="K145" s="41"/>
    </row>
    <row r="146" spans="1:11" x14ac:dyDescent="0.25">
      <c r="A146" s="40"/>
      <c r="K146" s="41"/>
    </row>
    <row r="147" spans="1:11" x14ac:dyDescent="0.25">
      <c r="A147" s="40"/>
      <c r="K147" s="41"/>
    </row>
    <row r="148" spans="1:11" x14ac:dyDescent="0.25">
      <c r="A148" s="40"/>
      <c r="K148" s="41"/>
    </row>
    <row r="149" spans="1:11" x14ac:dyDescent="0.25">
      <c r="A149" s="40"/>
      <c r="K149" s="41"/>
    </row>
    <row r="150" spans="1:11" x14ac:dyDescent="0.25">
      <c r="A150" s="40"/>
      <c r="K150" s="41"/>
    </row>
    <row r="151" spans="1:11" ht="15.75" thickBot="1" x14ac:dyDescent="0.3">
      <c r="A151" s="40"/>
      <c r="B151" s="69"/>
      <c r="C151" s="69"/>
      <c r="D151" s="69"/>
      <c r="E151" s="69"/>
      <c r="F151" s="69"/>
      <c r="G151" s="69"/>
      <c r="H151" s="69"/>
      <c r="I151" s="69"/>
      <c r="J151" s="69"/>
      <c r="K151" s="56"/>
    </row>
    <row r="152" spans="1:11" ht="19.5" thickTop="1" x14ac:dyDescent="0.3">
      <c r="A152" s="53"/>
      <c r="B152" s="54">
        <v>3</v>
      </c>
      <c r="C152" s="55" t="str">
        <f>C48</f>
        <v>Revised 07-09-2020</v>
      </c>
      <c r="D152" s="55"/>
      <c r="E152" s="55"/>
      <c r="F152" s="55"/>
      <c r="G152" s="55"/>
      <c r="H152" s="55"/>
      <c r="I152" s="55"/>
      <c r="J152" s="55"/>
      <c r="K152" s="56"/>
    </row>
  </sheetData>
  <sheetProtection algorithmName="SHA-512" hashValue="s8CTOD08rP4wcl+dLsBywlr1a07NNnSkb4h/adpFIpgdMZl7BlbPmEBPrW3BOPINLN2UOz7q4uXOUS4g/Msc0w==" saltValue="09i51X/hQ5/hWeT/P0W/UA==" spinCount="100000" sheet="1" formatCells="0" formatColumns="0" formatRows="0" insertColumns="0" insertRows="0" insertHyperlinks="0" sort="0" autoFilter="0" pivotTables="0"/>
  <mergeCells count="2">
    <mergeCell ref="A1:K1"/>
    <mergeCell ref="A102:K102"/>
  </mergeCells>
  <printOptions horizontalCentered="1" verticalCentered="1"/>
  <pageMargins left="0.45" right="0.45" top="0.25" bottom="0.25" header="0" footer="0"/>
  <pageSetup scale="88" orientation="portrait" horizontalDpi="1200" verticalDpi="1200" r:id="rId1"/>
  <rowBreaks count="2" manualBreakCount="2">
    <brk id="48" max="16383" man="1"/>
    <brk id="10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705F-9447-4ACA-AE24-F52E6F04A3AB}">
  <dimension ref="A1:J257"/>
  <sheetViews>
    <sheetView showGridLines="0" workbookViewId="0">
      <selection activeCell="E1" sqref="E1:E1048576"/>
    </sheetView>
  </sheetViews>
  <sheetFormatPr defaultColWidth="9.140625" defaultRowHeight="15" x14ac:dyDescent="0.25"/>
  <cols>
    <col min="1" max="1" width="53.5703125" style="139" bestFit="1" customWidth="1"/>
    <col min="2" max="2" width="20.85546875" style="139" bestFit="1" customWidth="1"/>
    <col min="3" max="3" width="46.85546875" style="139" bestFit="1" customWidth="1"/>
    <col min="4" max="4" width="27" style="139" bestFit="1" customWidth="1"/>
    <col min="5" max="5" width="27" style="139" customWidth="1"/>
    <col min="6" max="6" width="9.140625" style="139"/>
    <col min="7" max="7" width="50.5703125" style="139" bestFit="1" customWidth="1"/>
    <col min="8" max="8" width="9.140625" style="139"/>
    <col min="9" max="9" width="12.5703125" style="139" bestFit="1" customWidth="1"/>
    <col min="10" max="10" width="28.85546875" style="139" bestFit="1" customWidth="1"/>
    <col min="11" max="16384" width="9.140625" style="139"/>
  </cols>
  <sheetData>
    <row r="1" spans="1:10" x14ac:dyDescent="0.25">
      <c r="A1" s="140" t="s">
        <v>229</v>
      </c>
      <c r="B1" s="140" t="s">
        <v>230</v>
      </c>
      <c r="C1" s="140" t="s">
        <v>231</v>
      </c>
      <c r="D1" s="140" t="s">
        <v>232</v>
      </c>
      <c r="E1" s="140" t="s">
        <v>233</v>
      </c>
      <c r="F1" s="141" t="s">
        <v>234</v>
      </c>
      <c r="G1" s="141" t="s">
        <v>235</v>
      </c>
      <c r="H1" s="141" t="s">
        <v>236</v>
      </c>
      <c r="I1" s="141" t="s">
        <v>237</v>
      </c>
      <c r="J1" s="141" t="s">
        <v>238</v>
      </c>
    </row>
    <row r="2" spans="1:10" x14ac:dyDescent="0.25">
      <c r="A2" s="142" t="s">
        <v>239</v>
      </c>
      <c r="B2" s="142" t="s">
        <v>240</v>
      </c>
      <c r="C2" s="142" t="s">
        <v>49</v>
      </c>
      <c r="D2" s="142" t="s">
        <v>241</v>
      </c>
      <c r="E2" s="142" t="s">
        <v>242</v>
      </c>
      <c r="F2" s="143">
        <f>COUNTIF($A$2:$A$226,"&lt;="&amp;A2)</f>
        <v>5</v>
      </c>
      <c r="G2" s="143" t="str">
        <f>IFERROR(INDEX($A$2:$A$226,MATCH(ROWS($F$2:F2),$F$2:$F$226,0)),"")</f>
        <v>ACADEMY FOR TECH &amp; CLASSICS</v>
      </c>
      <c r="H2" s="144">
        <f>IF(ISERROR(SEARCH('CASH REPORT'!$C$1,$G2)),0,1)</f>
        <v>1</v>
      </c>
      <c r="I2" s="144">
        <f>IF($H2=0,"",COUNTIF($H$2:H2,1))</f>
        <v>1</v>
      </c>
      <c r="J2" s="144" t="str">
        <f>IFERROR(INDEX(G1:G226,MATCH(ROW(I1),I1:I226,0)),"")</f>
        <v>ACADEMY FOR TECH &amp; CLASSICS</v>
      </c>
    </row>
    <row r="3" spans="1:10" x14ac:dyDescent="0.25">
      <c r="A3" s="142" t="s">
        <v>243</v>
      </c>
      <c r="B3" s="142" t="s">
        <v>244</v>
      </c>
      <c r="C3" s="142" t="s">
        <v>49</v>
      </c>
      <c r="D3" s="142" t="s">
        <v>245</v>
      </c>
      <c r="E3" s="142" t="s">
        <v>246</v>
      </c>
      <c r="F3" s="143">
        <f t="shared" ref="F3:F66" si="0">COUNTIF($A$2:$A$226,"&lt;="&amp;A3)</f>
        <v>6</v>
      </c>
      <c r="G3" s="143" t="str">
        <f>IFERROR(INDEX($A$2:$A$226,MATCH(ROWS($F$2:F3),$F$2:$F$226,0)),"")</f>
        <v>ACE LEADERSHIP</v>
      </c>
      <c r="H3" s="144">
        <f>IF(ISERROR(SEARCH('CASH REPORT'!$C$1,$G3)),0,1)</f>
        <v>1</v>
      </c>
      <c r="I3" s="144">
        <f>IF($H3=0,"",COUNTIF($H$2:H3,1))</f>
        <v>2</v>
      </c>
      <c r="J3" s="144" t="str">
        <f t="shared" ref="J3:J66" si="1">IFERROR(INDEX(G2:G227,MATCH(ROW(I2),I2:I227,0)),"")</f>
        <v>ACE LEADERSHIP</v>
      </c>
    </row>
    <row r="4" spans="1:10" x14ac:dyDescent="0.25">
      <c r="A4" s="142" t="s">
        <v>247</v>
      </c>
      <c r="B4" s="142" t="s">
        <v>248</v>
      </c>
      <c r="C4" s="142" t="s">
        <v>249</v>
      </c>
      <c r="D4" s="142" t="s">
        <v>250</v>
      </c>
      <c r="E4" s="142" t="s">
        <v>251</v>
      </c>
      <c r="F4" s="143">
        <f t="shared" si="0"/>
        <v>1</v>
      </c>
      <c r="G4" s="143" t="str">
        <f>IFERROR(INDEX($A$2:$A$226,MATCH(ROWS($F$2:F4),$F$2:$F$226,0)),"")</f>
        <v>ACES TECHNICAL CHARTER SCHOOL</v>
      </c>
      <c r="H4" s="144">
        <f>IF(ISERROR(SEARCH('CASH REPORT'!$C$1,$G4)),0,1)</f>
        <v>1</v>
      </c>
      <c r="I4" s="144">
        <f>IF($H4=0,"",COUNTIF($H$2:H4,1))</f>
        <v>3</v>
      </c>
      <c r="J4" s="144" t="str">
        <f t="shared" si="1"/>
        <v>ACES TECHNICAL CHARTER SCHOOL</v>
      </c>
    </row>
    <row r="5" spans="1:10" x14ac:dyDescent="0.25">
      <c r="A5" s="142" t="s">
        <v>252</v>
      </c>
      <c r="B5" s="142" t="s">
        <v>253</v>
      </c>
      <c r="C5" s="142" t="s">
        <v>249</v>
      </c>
      <c r="D5" s="142" t="s">
        <v>245</v>
      </c>
      <c r="E5" s="142" t="s">
        <v>254</v>
      </c>
      <c r="F5" s="143">
        <f t="shared" si="0"/>
        <v>2</v>
      </c>
      <c r="G5" s="143" t="str">
        <f>IFERROR(INDEX($A$2:$A$226,MATCH(ROWS($F$2:F5),$F$2:$F$226,0)),"")</f>
        <v>AIMS @ UNM</v>
      </c>
      <c r="H5" s="144">
        <f>IF(ISERROR(SEARCH('CASH REPORT'!$C$1,$G5)),0,1)</f>
        <v>1</v>
      </c>
      <c r="I5" s="144">
        <f>IF($H5=0,"",COUNTIF($H$2:H5,1))</f>
        <v>4</v>
      </c>
      <c r="J5" s="144" t="str">
        <f t="shared" si="1"/>
        <v>AIMS @ UNM</v>
      </c>
    </row>
    <row r="6" spans="1:10" x14ac:dyDescent="0.25">
      <c r="A6" s="142" t="s">
        <v>255</v>
      </c>
      <c r="B6" s="142" t="s">
        <v>256</v>
      </c>
      <c r="C6" s="142" t="s">
        <v>257</v>
      </c>
      <c r="D6" s="142" t="s">
        <v>258</v>
      </c>
      <c r="E6" s="142" t="s">
        <v>259</v>
      </c>
      <c r="F6" s="143">
        <f t="shared" si="0"/>
        <v>3</v>
      </c>
      <c r="G6" s="143" t="str">
        <f>IFERROR(INDEX($A$2:$A$226,MATCH(ROWS($F$2:F6),$F$2:$F$226,0)),"")</f>
        <v>ALAMOGORDO</v>
      </c>
      <c r="H6" s="144">
        <f>IF(ISERROR(SEARCH('CASH REPORT'!$C$1,$G6)),0,1)</f>
        <v>1</v>
      </c>
      <c r="I6" s="144">
        <f>IF($H6=0,"",COUNTIF($H$2:H6,1))</f>
        <v>5</v>
      </c>
      <c r="J6" s="144" t="str">
        <f t="shared" si="1"/>
        <v>ALAMOGORDO</v>
      </c>
    </row>
    <row r="7" spans="1:10" x14ac:dyDescent="0.25">
      <c r="A7" s="142" t="s">
        <v>260</v>
      </c>
      <c r="B7" s="142" t="s">
        <v>261</v>
      </c>
      <c r="C7" s="142" t="s">
        <v>257</v>
      </c>
      <c r="D7" s="142" t="s">
        <v>258</v>
      </c>
      <c r="E7" s="142" t="s">
        <v>262</v>
      </c>
      <c r="F7" s="143">
        <f t="shared" si="0"/>
        <v>4</v>
      </c>
      <c r="G7" s="143" t="str">
        <f>IFERROR(INDEX($A$2:$A$226,MATCH(ROWS($F$2:F7),$F$2:$F$226,0)),"")</f>
        <v>ALBUQUERQUE</v>
      </c>
      <c r="H7" s="144">
        <f>IF(ISERROR(SEARCH('CASH REPORT'!$C$1,$G7)),0,1)</f>
        <v>1</v>
      </c>
      <c r="I7" s="144">
        <f>IF($H7=0,"",COUNTIF($H$2:H7,1))</f>
        <v>6</v>
      </c>
      <c r="J7" s="144" t="str">
        <f t="shared" si="1"/>
        <v>ALBUQUERQUE</v>
      </c>
    </row>
    <row r="8" spans="1:10" x14ac:dyDescent="0.25">
      <c r="A8" s="142" t="s">
        <v>263</v>
      </c>
      <c r="B8" s="142" t="s">
        <v>264</v>
      </c>
      <c r="C8" s="142" t="s">
        <v>257</v>
      </c>
      <c r="D8" s="142" t="s">
        <v>258</v>
      </c>
      <c r="E8" s="142" t="s">
        <v>265</v>
      </c>
      <c r="F8" s="143">
        <f t="shared" si="0"/>
        <v>7</v>
      </c>
      <c r="G8" s="143" t="str">
        <f>IFERROR(INDEX($A$2:$A$226,MATCH(ROWS($F$2:F8),$F$2:$F$226,0)),"")</f>
        <v>ALBUQUERQUE BILINGUAL ACADEMY</v>
      </c>
      <c r="H8" s="144">
        <f>IF(ISERROR(SEARCH('CASH REPORT'!$C$1,$G8)),0,1)</f>
        <v>1</v>
      </c>
      <c r="I8" s="144">
        <f>IF($H8=0,"",COUNTIF($H$2:H8,1))</f>
        <v>7</v>
      </c>
      <c r="J8" s="144" t="str">
        <f t="shared" si="1"/>
        <v>ALBUQUERQUE BILINGUAL ACADEMY</v>
      </c>
    </row>
    <row r="9" spans="1:10" x14ac:dyDescent="0.25">
      <c r="A9" s="142" t="s">
        <v>266</v>
      </c>
      <c r="B9" s="142" t="s">
        <v>267</v>
      </c>
      <c r="C9" s="142" t="s">
        <v>249</v>
      </c>
      <c r="D9" s="142" t="s">
        <v>245</v>
      </c>
      <c r="E9" s="142" t="s">
        <v>268</v>
      </c>
      <c r="F9" s="143">
        <f t="shared" si="0"/>
        <v>8</v>
      </c>
      <c r="G9" s="143" t="str">
        <f>IFERROR(INDEX($A$2:$A$226,MATCH(ROWS($F$2:F9),$F$2:$F$226,0)),"")</f>
        <v>ALBUQUERQUE CHARTER ACADEMY</v>
      </c>
      <c r="H9" s="144">
        <f>IF(ISERROR(SEARCH('CASH REPORT'!$C$1,$G9)),0,1)</f>
        <v>1</v>
      </c>
      <c r="I9" s="144">
        <f>IF($H9=0,"",COUNTIF($H$2:H9,1))</f>
        <v>8</v>
      </c>
      <c r="J9" s="144" t="str">
        <f t="shared" si="1"/>
        <v>ALBUQUERQUE CHARTER ACADEMY</v>
      </c>
    </row>
    <row r="10" spans="1:10" x14ac:dyDescent="0.25">
      <c r="A10" s="142" t="s">
        <v>269</v>
      </c>
      <c r="B10" s="142" t="s">
        <v>270</v>
      </c>
      <c r="C10" s="142" t="s">
        <v>257</v>
      </c>
      <c r="D10" s="142" t="s">
        <v>258</v>
      </c>
      <c r="E10" s="142" t="s">
        <v>271</v>
      </c>
      <c r="F10" s="143">
        <f t="shared" si="0"/>
        <v>9</v>
      </c>
      <c r="G10" s="143" t="str">
        <f>IFERROR(INDEX($A$2:$A$226,MATCH(ROWS($F$2:F10),$F$2:$F$226,0)),"")</f>
        <v>ALBUQUERQUE COLLEGIATE</v>
      </c>
      <c r="H10" s="144">
        <f>IF(ISERROR(SEARCH('CASH REPORT'!$C$1,$G10)),0,1)</f>
        <v>1</v>
      </c>
      <c r="I10" s="144">
        <f>IF($H10=0,"",COUNTIF($H$2:H10,1))</f>
        <v>9</v>
      </c>
      <c r="J10" s="144" t="str">
        <f t="shared" si="1"/>
        <v>ALBUQUERQUE COLLEGIATE</v>
      </c>
    </row>
    <row r="11" spans="1:10" x14ac:dyDescent="0.25">
      <c r="A11" s="142" t="s">
        <v>272</v>
      </c>
      <c r="B11" s="142" t="s">
        <v>273</v>
      </c>
      <c r="C11" s="142" t="s">
        <v>257</v>
      </c>
      <c r="D11" s="142" t="s">
        <v>258</v>
      </c>
      <c r="E11" s="142" t="s">
        <v>274</v>
      </c>
      <c r="F11" s="143">
        <f t="shared" si="0"/>
        <v>10</v>
      </c>
      <c r="G11" s="143" t="str">
        <f>IFERROR(INDEX($A$2:$A$226,MATCH(ROWS($F$2:F11),$F$2:$F$226,0)),"")</f>
        <v>ALBUQUERQUE SCHOOL OF EXCELLENCE</v>
      </c>
      <c r="H11" s="144">
        <f>IF(ISERROR(SEARCH('CASH REPORT'!$C$1,$G11)),0,1)</f>
        <v>1</v>
      </c>
      <c r="I11" s="144">
        <f>IF($H11=0,"",COUNTIF($H$2:H11,1))</f>
        <v>10</v>
      </c>
      <c r="J11" s="144" t="str">
        <f t="shared" si="1"/>
        <v>ALBUQUERQUE SCHOOL OF EXCELLENCE</v>
      </c>
    </row>
    <row r="12" spans="1:10" x14ac:dyDescent="0.25">
      <c r="A12" s="142" t="s">
        <v>275</v>
      </c>
      <c r="B12" s="142" t="s">
        <v>276</v>
      </c>
      <c r="C12" s="142" t="s">
        <v>257</v>
      </c>
      <c r="D12" s="142" t="s">
        <v>258</v>
      </c>
      <c r="E12" s="142" t="s">
        <v>277</v>
      </c>
      <c r="F12" s="143">
        <f t="shared" si="0"/>
        <v>11</v>
      </c>
      <c r="G12" s="143" t="str">
        <f>IFERROR(INDEX($A$2:$A$226,MATCH(ROWS($F$2:F12),$F$2:$F$226,0)),"")</f>
        <v>ALBUQUERQUE SIGN LANGUAGE</v>
      </c>
      <c r="H12" s="144">
        <f>IF(ISERROR(SEARCH('CASH REPORT'!$C$1,$G12)),0,1)</f>
        <v>1</v>
      </c>
      <c r="I12" s="144">
        <f>IF($H12=0,"",COUNTIF($H$2:H12,1))</f>
        <v>11</v>
      </c>
      <c r="J12" s="144" t="str">
        <f t="shared" si="1"/>
        <v>ALBUQUERQUE SIGN LANGUAGE</v>
      </c>
    </row>
    <row r="13" spans="1:10" x14ac:dyDescent="0.25">
      <c r="A13" s="142" t="s">
        <v>278</v>
      </c>
      <c r="B13" s="142" t="s">
        <v>279</v>
      </c>
      <c r="C13" s="142" t="s">
        <v>257</v>
      </c>
      <c r="D13" s="142" t="s">
        <v>280</v>
      </c>
      <c r="E13" s="142" t="s">
        <v>281</v>
      </c>
      <c r="F13" s="143">
        <f t="shared" si="0"/>
        <v>12</v>
      </c>
      <c r="G13" s="143" t="str">
        <f>IFERROR(INDEX($A$2:$A$226,MATCH(ROWS($F$2:F13),$F$2:$F$226,0)),"")</f>
        <v>ALDO LEOPOLD ST. CHARTER</v>
      </c>
      <c r="H13" s="144">
        <f>IF(ISERROR(SEARCH('CASH REPORT'!$C$1,$G13)),0,1)</f>
        <v>1</v>
      </c>
      <c r="I13" s="144">
        <f>IF($H13=0,"",COUNTIF($H$2:H13,1))</f>
        <v>12</v>
      </c>
      <c r="J13" s="144" t="str">
        <f t="shared" si="1"/>
        <v>ALDO LEOPOLD ST. CHARTER</v>
      </c>
    </row>
    <row r="14" spans="1:10" x14ac:dyDescent="0.25">
      <c r="A14" s="142" t="s">
        <v>282</v>
      </c>
      <c r="B14" s="142" t="s">
        <v>283</v>
      </c>
      <c r="C14" s="142" t="s">
        <v>249</v>
      </c>
      <c r="D14" s="142" t="s">
        <v>245</v>
      </c>
      <c r="E14" s="142" t="s">
        <v>284</v>
      </c>
      <c r="F14" s="143">
        <f t="shared" si="0"/>
        <v>13</v>
      </c>
      <c r="G14" s="143" t="str">
        <f>IFERROR(INDEX($A$2:$A$226,MATCH(ROWS($F$2:F14),$F$2:$F$226,0)),"")</f>
        <v>ALICE KING COMMUNITY SCHOOL</v>
      </c>
      <c r="H14" s="144">
        <f>IF(ISERROR(SEARCH('CASH REPORT'!$C$1,$G14)),0,1)</f>
        <v>1</v>
      </c>
      <c r="I14" s="144">
        <f>IF($H14=0,"",COUNTIF($H$2:H14,1))</f>
        <v>13</v>
      </c>
      <c r="J14" s="144" t="str">
        <f t="shared" si="1"/>
        <v>ALICE KING COMMUNITY SCHOOL</v>
      </c>
    </row>
    <row r="15" spans="1:10" x14ac:dyDescent="0.25">
      <c r="A15" s="142" t="s">
        <v>285</v>
      </c>
      <c r="B15" s="142" t="s">
        <v>286</v>
      </c>
      <c r="C15" s="142" t="s">
        <v>257</v>
      </c>
      <c r="D15" s="142" t="s">
        <v>287</v>
      </c>
      <c r="E15" s="142" t="s">
        <v>288</v>
      </c>
      <c r="F15" s="143">
        <f t="shared" si="0"/>
        <v>14</v>
      </c>
      <c r="G15" s="143" t="str">
        <f>IFERROR(INDEX($A$2:$A$226,MATCH(ROWS($F$2:F15),$F$2:$F$226,0)),"")</f>
        <v>ALMA D' ARTE STATE CHARTER</v>
      </c>
      <c r="H15" s="144">
        <f>IF(ISERROR(SEARCH('CASH REPORT'!$C$1,$G15)),0,1)</f>
        <v>1</v>
      </c>
      <c r="I15" s="144">
        <f>IF($H15=0,"",COUNTIF($H$2:H15,1))</f>
        <v>14</v>
      </c>
      <c r="J15" s="144" t="str">
        <f t="shared" si="1"/>
        <v>ALMA D' ARTE STATE CHARTER</v>
      </c>
    </row>
    <row r="16" spans="1:10" x14ac:dyDescent="0.25">
      <c r="A16" s="142" t="s">
        <v>289</v>
      </c>
      <c r="B16" s="142" t="s">
        <v>290</v>
      </c>
      <c r="C16" s="142" t="s">
        <v>257</v>
      </c>
      <c r="D16" s="142" t="s">
        <v>258</v>
      </c>
      <c r="E16" s="142" t="s">
        <v>291</v>
      </c>
      <c r="F16" s="143">
        <f t="shared" si="0"/>
        <v>15</v>
      </c>
      <c r="G16" s="143" t="str">
        <f>IFERROR(INDEX($A$2:$A$226,MATCH(ROWS($F$2:F16),$F$2:$F$226,0)),"")</f>
        <v>ALTURA PREPARATORY SCHOOL</v>
      </c>
      <c r="H16" s="144">
        <f>IF(ISERROR(SEARCH('CASH REPORT'!$C$1,$G16)),0,1)</f>
        <v>1</v>
      </c>
      <c r="I16" s="144">
        <f>IF($H16=0,"",COUNTIF($H$2:H16,1))</f>
        <v>15</v>
      </c>
      <c r="J16" s="144" t="str">
        <f t="shared" si="1"/>
        <v>ALTURA PREPARATORY SCHOOL</v>
      </c>
    </row>
    <row r="17" spans="1:10" x14ac:dyDescent="0.25">
      <c r="A17" s="142" t="s">
        <v>292</v>
      </c>
      <c r="B17" s="142" t="s">
        <v>293</v>
      </c>
      <c r="C17" s="142" t="s">
        <v>257</v>
      </c>
      <c r="D17" s="142" t="s">
        <v>258</v>
      </c>
      <c r="E17" s="142" t="s">
        <v>294</v>
      </c>
      <c r="F17" s="143">
        <f t="shared" si="0"/>
        <v>16</v>
      </c>
      <c r="G17" s="143" t="str">
        <f>IFERROR(INDEX($A$2:$A$226,MATCH(ROWS($F$2:F17),$F$2:$F$226,0)),"")</f>
        <v>AMY BIEHL ST. CHARTER</v>
      </c>
      <c r="H17" s="144">
        <f>IF(ISERROR(SEARCH('CASH REPORT'!$C$1,$G17)),0,1)</f>
        <v>1</v>
      </c>
      <c r="I17" s="144">
        <f>IF($H17=0,"",COUNTIF($H$2:H17,1))</f>
        <v>16</v>
      </c>
      <c r="J17" s="144" t="str">
        <f t="shared" si="1"/>
        <v>AMY BIEHL ST. CHARTER</v>
      </c>
    </row>
    <row r="18" spans="1:10" x14ac:dyDescent="0.25">
      <c r="A18" s="142" t="s">
        <v>295</v>
      </c>
      <c r="B18" s="142" t="s">
        <v>296</v>
      </c>
      <c r="C18" s="142" t="s">
        <v>249</v>
      </c>
      <c r="D18" s="142" t="s">
        <v>297</v>
      </c>
      <c r="E18" s="142" t="s">
        <v>298</v>
      </c>
      <c r="F18" s="143">
        <f t="shared" si="0"/>
        <v>17</v>
      </c>
      <c r="G18" s="143" t="str">
        <f>IFERROR(INDEX($A$2:$A$226,MATCH(ROWS($F$2:F18),$F$2:$F$226,0)),"")</f>
        <v>ANANSI CHARTER</v>
      </c>
      <c r="H18" s="144">
        <f>IF(ISERROR(SEARCH('CASH REPORT'!$C$1,$G18)),0,1)</f>
        <v>1</v>
      </c>
      <c r="I18" s="144">
        <f>IF($H18=0,"",COUNTIF($H$2:H18,1))</f>
        <v>17</v>
      </c>
      <c r="J18" s="144" t="str">
        <f t="shared" si="1"/>
        <v>ANANSI CHARTER</v>
      </c>
    </row>
    <row r="19" spans="1:10" x14ac:dyDescent="0.25">
      <c r="A19" s="142" t="s">
        <v>299</v>
      </c>
      <c r="B19" s="142" t="s">
        <v>300</v>
      </c>
      <c r="C19" s="142" t="s">
        <v>257</v>
      </c>
      <c r="D19" s="142" t="s">
        <v>301</v>
      </c>
      <c r="E19" s="142" t="s">
        <v>302</v>
      </c>
      <c r="F19" s="143">
        <f t="shared" si="0"/>
        <v>20</v>
      </c>
      <c r="G19" s="143" t="str">
        <f>IFERROR(INDEX($A$2:$A$226,MATCH(ROWS($F$2:F19),$F$2:$F$226,0)),"")</f>
        <v>ANIMAS</v>
      </c>
      <c r="H19" s="144">
        <f>IF(ISERROR(SEARCH('CASH REPORT'!$C$1,$G19)),0,1)</f>
        <v>1</v>
      </c>
      <c r="I19" s="144">
        <f>IF($H19=0,"",COUNTIF($H$2:H19,1))</f>
        <v>18</v>
      </c>
      <c r="J19" s="144" t="str">
        <f t="shared" si="1"/>
        <v>ANIMAS</v>
      </c>
    </row>
    <row r="20" spans="1:10" x14ac:dyDescent="0.25">
      <c r="A20" s="142" t="s">
        <v>303</v>
      </c>
      <c r="B20" s="142" t="s">
        <v>304</v>
      </c>
      <c r="C20" s="142" t="s">
        <v>257</v>
      </c>
      <c r="D20" s="142" t="s">
        <v>258</v>
      </c>
      <c r="E20" s="142" t="s">
        <v>305</v>
      </c>
      <c r="F20" s="143">
        <f t="shared" si="0"/>
        <v>29</v>
      </c>
      <c r="G20" s="143" t="str">
        <f>IFERROR(INDEX($A$2:$A$226,MATCH(ROWS($F$2:F20),$F$2:$F$226,0)),"")</f>
        <v>ARTESIA</v>
      </c>
      <c r="H20" s="144">
        <f>IF(ISERROR(SEARCH('CASH REPORT'!$C$1,$G20)),0,1)</f>
        <v>1</v>
      </c>
      <c r="I20" s="144">
        <f>IF($H20=0,"",COUNTIF($H$2:H20,1))</f>
        <v>19</v>
      </c>
      <c r="J20" s="144" t="str">
        <f t="shared" si="1"/>
        <v>ARTESIA</v>
      </c>
    </row>
    <row r="21" spans="1:10" x14ac:dyDescent="0.25">
      <c r="A21" s="142" t="s">
        <v>306</v>
      </c>
      <c r="B21" s="142" t="s">
        <v>307</v>
      </c>
      <c r="C21" s="142" t="s">
        <v>249</v>
      </c>
      <c r="D21" s="142" t="s">
        <v>245</v>
      </c>
      <c r="E21" s="142" t="s">
        <v>308</v>
      </c>
      <c r="F21" s="143">
        <f t="shared" si="0"/>
        <v>31</v>
      </c>
      <c r="G21" s="143" t="str">
        <f>IFERROR(INDEX($A$2:$A$226,MATCH(ROWS($F$2:F21),$F$2:$F$226,0)),"")</f>
        <v>ASK ACADEMY ST. CHARTER</v>
      </c>
      <c r="H21" s="144">
        <f>IF(ISERROR(SEARCH('CASH REPORT'!$C$1,$G21)),0,1)</f>
        <v>1</v>
      </c>
      <c r="I21" s="144">
        <f>IF($H21=0,"",COUNTIF($H$2:H21,1))</f>
        <v>20</v>
      </c>
      <c r="J21" s="144" t="str">
        <f t="shared" si="1"/>
        <v>ASK ACADEMY ST. CHARTER</v>
      </c>
    </row>
    <row r="22" spans="1:10" x14ac:dyDescent="0.25">
      <c r="A22" s="142" t="s">
        <v>309</v>
      </c>
      <c r="B22" s="142" t="s">
        <v>310</v>
      </c>
      <c r="C22" s="142" t="s">
        <v>249</v>
      </c>
      <c r="D22" s="142" t="s">
        <v>245</v>
      </c>
      <c r="E22" s="142" t="s">
        <v>311</v>
      </c>
      <c r="F22" s="143">
        <f t="shared" si="0"/>
        <v>32</v>
      </c>
      <c r="G22" s="143" t="str">
        <f>IFERROR(INDEX($A$2:$A$226,MATCH(ROWS($F$2:F22),$F$2:$F$226,0)),"")</f>
        <v>AZTEC</v>
      </c>
      <c r="H22" s="144">
        <f>IF(ISERROR(SEARCH('CASH REPORT'!$C$1,$G22)),0,1)</f>
        <v>1</v>
      </c>
      <c r="I22" s="144">
        <f>IF($H22=0,"",COUNTIF($H$2:H22,1))</f>
        <v>21</v>
      </c>
      <c r="J22" s="144" t="str">
        <f t="shared" si="1"/>
        <v>AZTEC</v>
      </c>
    </row>
    <row r="23" spans="1:10" x14ac:dyDescent="0.25">
      <c r="A23" s="142" t="s">
        <v>312</v>
      </c>
      <c r="B23" s="142" t="s">
        <v>313</v>
      </c>
      <c r="C23" s="142" t="s">
        <v>249</v>
      </c>
      <c r="D23" s="142" t="s">
        <v>245</v>
      </c>
      <c r="E23" s="142" t="s">
        <v>314</v>
      </c>
      <c r="F23" s="143">
        <f t="shared" si="0"/>
        <v>38</v>
      </c>
      <c r="G23" s="143" t="str">
        <f>IFERROR(INDEX($A$2:$A$226,MATCH(ROWS($F$2:F23),$F$2:$F$226,0)),"")</f>
        <v>BELEN</v>
      </c>
      <c r="H23" s="144">
        <f>IF(ISERROR(SEARCH('CASH REPORT'!$C$1,$G23)),0,1)</f>
        <v>1</v>
      </c>
      <c r="I23" s="144">
        <f>IF($H23=0,"",COUNTIF($H$2:H23,1))</f>
        <v>22</v>
      </c>
      <c r="J23" s="144" t="str">
        <f t="shared" si="1"/>
        <v>BELEN</v>
      </c>
    </row>
    <row r="24" spans="1:10" x14ac:dyDescent="0.25">
      <c r="A24" s="142" t="s">
        <v>315</v>
      </c>
      <c r="B24" s="142" t="s">
        <v>316</v>
      </c>
      <c r="C24" s="142" t="s">
        <v>249</v>
      </c>
      <c r="D24" s="142" t="s">
        <v>245</v>
      </c>
      <c r="E24" s="142" t="s">
        <v>317</v>
      </c>
      <c r="F24" s="143">
        <f t="shared" si="0"/>
        <v>40</v>
      </c>
      <c r="G24" s="143" t="str">
        <f>IFERROR(INDEX($A$2:$A$226,MATCH(ROWS($F$2:F24),$F$2:$F$226,0)),"")</f>
        <v>BERNALILLO</v>
      </c>
      <c r="H24" s="144">
        <f>IF(ISERROR(SEARCH('CASH REPORT'!$C$1,$G24)),0,1)</f>
        <v>1</v>
      </c>
      <c r="I24" s="144">
        <f>IF($H24=0,"",COUNTIF($H$2:H24,1))</f>
        <v>23</v>
      </c>
      <c r="J24" s="144" t="str">
        <f t="shared" si="1"/>
        <v>BERNALILLO</v>
      </c>
    </row>
    <row r="25" spans="1:10" x14ac:dyDescent="0.25">
      <c r="A25" s="142" t="s">
        <v>318</v>
      </c>
      <c r="B25" s="142" t="s">
        <v>319</v>
      </c>
      <c r="C25" s="142" t="s">
        <v>249</v>
      </c>
      <c r="D25" s="142" t="s">
        <v>245</v>
      </c>
      <c r="E25" s="142" t="s">
        <v>320</v>
      </c>
      <c r="F25" s="143">
        <f t="shared" si="0"/>
        <v>41</v>
      </c>
      <c r="G25" s="143" t="str">
        <f>IFERROR(INDEX($A$2:$A$226,MATCH(ROWS($F$2:F25),$F$2:$F$226,0)),"")</f>
        <v>BLOOMFIELD</v>
      </c>
      <c r="H25" s="144">
        <f>IF(ISERROR(SEARCH('CASH REPORT'!$C$1,$G25)),0,1)</f>
        <v>1</v>
      </c>
      <c r="I25" s="144">
        <f>IF($H25=0,"",COUNTIF($H$2:H25,1))</f>
        <v>24</v>
      </c>
      <c r="J25" s="144" t="str">
        <f t="shared" si="1"/>
        <v>BLOOMFIELD</v>
      </c>
    </row>
    <row r="26" spans="1:10" x14ac:dyDescent="0.25">
      <c r="A26" s="142" t="s">
        <v>321</v>
      </c>
      <c r="B26" s="142" t="s">
        <v>322</v>
      </c>
      <c r="C26" s="142" t="s">
        <v>249</v>
      </c>
      <c r="D26" s="142" t="s">
        <v>323</v>
      </c>
      <c r="E26" s="142" t="s">
        <v>324</v>
      </c>
      <c r="F26" s="143">
        <f t="shared" si="0"/>
        <v>42</v>
      </c>
      <c r="G26" s="143" t="str">
        <f>IFERROR(INDEX($A$2:$A$226,MATCH(ROWS($F$2:F26),$F$2:$F$226,0)),"")</f>
        <v>CAPITAN</v>
      </c>
      <c r="H26" s="144">
        <f>IF(ISERROR(SEARCH('CASH REPORT'!$C$1,$G26)),0,1)</f>
        <v>1</v>
      </c>
      <c r="I26" s="144">
        <f>IF($H26=0,"",COUNTIF($H$2:H26,1))</f>
        <v>25</v>
      </c>
      <c r="J26" s="144" t="str">
        <f t="shared" si="1"/>
        <v>CAPITAN</v>
      </c>
    </row>
    <row r="27" spans="1:10" x14ac:dyDescent="0.25">
      <c r="A27" s="142" t="s">
        <v>325</v>
      </c>
      <c r="B27" s="142" t="s">
        <v>326</v>
      </c>
      <c r="C27" s="142" t="s">
        <v>257</v>
      </c>
      <c r="D27" s="142" t="s">
        <v>327</v>
      </c>
      <c r="E27" s="142" t="s">
        <v>325</v>
      </c>
      <c r="F27" s="143">
        <f t="shared" si="0"/>
        <v>44</v>
      </c>
      <c r="G27" s="143" t="str">
        <f>IFERROR(INDEX($A$2:$A$226,MATCH(ROWS($F$2:F27),$F$2:$F$226,0)),"")</f>
        <v>CARLSBAD</v>
      </c>
      <c r="H27" s="144">
        <f>IF(ISERROR(SEARCH('CASH REPORT'!$C$1,$G27)),0,1)</f>
        <v>1</v>
      </c>
      <c r="I27" s="144">
        <f>IF($H27=0,"",COUNTIF($H$2:H27,1))</f>
        <v>26</v>
      </c>
      <c r="J27" s="144" t="str">
        <f t="shared" si="1"/>
        <v>CARLSBAD</v>
      </c>
    </row>
    <row r="28" spans="1:10" x14ac:dyDescent="0.25">
      <c r="A28" s="142" t="s">
        <v>328</v>
      </c>
      <c r="B28" s="142" t="s">
        <v>329</v>
      </c>
      <c r="C28" s="142" t="s">
        <v>249</v>
      </c>
      <c r="D28" s="142" t="s">
        <v>330</v>
      </c>
      <c r="E28" s="142" t="s">
        <v>331</v>
      </c>
      <c r="F28" s="143">
        <f t="shared" si="0"/>
        <v>46</v>
      </c>
      <c r="G28" s="143" t="str">
        <f>IFERROR(INDEX($A$2:$A$226,MATCH(ROWS($F$2:F28),$F$2:$F$226,0)),"")</f>
        <v>CARRIZOZO</v>
      </c>
      <c r="H28" s="144">
        <f>IF(ISERROR(SEARCH('CASH REPORT'!$C$1,$G28)),0,1)</f>
        <v>1</v>
      </c>
      <c r="I28" s="144">
        <f>IF($H28=0,"",COUNTIF($H$2:H28,1))</f>
        <v>27</v>
      </c>
      <c r="J28" s="144" t="str">
        <f t="shared" si="1"/>
        <v>CARRIZOZO</v>
      </c>
    </row>
    <row r="29" spans="1:10" x14ac:dyDescent="0.25">
      <c r="A29" s="142" t="s">
        <v>332</v>
      </c>
      <c r="B29" s="142" t="s">
        <v>333</v>
      </c>
      <c r="C29" s="142" t="s">
        <v>249</v>
      </c>
      <c r="D29" s="142" t="s">
        <v>245</v>
      </c>
      <c r="E29" s="142" t="s">
        <v>334</v>
      </c>
      <c r="F29" s="143">
        <f t="shared" si="0"/>
        <v>49</v>
      </c>
      <c r="G29" s="143" t="str">
        <f>IFERROR(INDEX($A$2:$A$226,MATCH(ROWS($F$2:F29),$F$2:$F$226,0)),"")</f>
        <v>CENTRAL CONS.</v>
      </c>
      <c r="H29" s="144">
        <f>IF(ISERROR(SEARCH('CASH REPORT'!$C$1,$G29)),0,1)</f>
        <v>1</v>
      </c>
      <c r="I29" s="144">
        <f>IF($H29=0,"",COUNTIF($H$2:H29,1))</f>
        <v>28</v>
      </c>
      <c r="J29" s="144" t="str">
        <f t="shared" si="1"/>
        <v>CENTRAL CONS.</v>
      </c>
    </row>
    <row r="30" spans="1:10" x14ac:dyDescent="0.25">
      <c r="A30" s="142" t="s">
        <v>335</v>
      </c>
      <c r="B30" s="142" t="s">
        <v>336</v>
      </c>
      <c r="C30" s="142" t="s">
        <v>249</v>
      </c>
      <c r="D30" s="142" t="s">
        <v>337</v>
      </c>
      <c r="E30" s="142" t="s">
        <v>338</v>
      </c>
      <c r="F30" s="143">
        <f t="shared" si="0"/>
        <v>51</v>
      </c>
      <c r="G30" s="143" t="str">
        <f>IFERROR(INDEX($A$2:$A$226,MATCH(ROWS($F$2:F30),$F$2:$F$226,0)),"")</f>
        <v>CESAR CHAVEZ COMM. ST. CHARTER</v>
      </c>
      <c r="H30" s="144">
        <f>IF(ISERROR(SEARCH('CASH REPORT'!$C$1,$G30)),0,1)</f>
        <v>1</v>
      </c>
      <c r="I30" s="144">
        <f>IF($H30=0,"",COUNTIF($H$2:H30,1))</f>
        <v>29</v>
      </c>
      <c r="J30" s="144" t="str">
        <f t="shared" si="1"/>
        <v>CESAR CHAVEZ COMM. ST. CHARTER</v>
      </c>
    </row>
    <row r="31" spans="1:10" x14ac:dyDescent="0.25">
      <c r="A31" s="142" t="s">
        <v>339</v>
      </c>
      <c r="B31" s="142" t="s">
        <v>340</v>
      </c>
      <c r="C31" s="142" t="s">
        <v>249</v>
      </c>
      <c r="D31" s="142" t="s">
        <v>245</v>
      </c>
      <c r="E31" s="142" t="s">
        <v>341</v>
      </c>
      <c r="F31" s="143">
        <f t="shared" si="0"/>
        <v>53</v>
      </c>
      <c r="G31" s="143" t="str">
        <f>IFERROR(INDEX($A$2:$A$226,MATCH(ROWS($F$2:F31),$F$2:$F$226,0)),"")</f>
        <v>CHAMA VALLEY</v>
      </c>
      <c r="H31" s="144">
        <f>IF(ISERROR(SEARCH('CASH REPORT'!$C$1,$G31)),0,1)</f>
        <v>1</v>
      </c>
      <c r="I31" s="144">
        <f>IF($H31=0,"",COUNTIF($H$2:H31,1))</f>
        <v>30</v>
      </c>
      <c r="J31" s="144" t="str">
        <f t="shared" si="1"/>
        <v>CHAMA VALLEY</v>
      </c>
    </row>
    <row r="32" spans="1:10" x14ac:dyDescent="0.25">
      <c r="A32" s="142" t="s">
        <v>342</v>
      </c>
      <c r="B32" s="142" t="s">
        <v>343</v>
      </c>
      <c r="C32" s="142" t="s">
        <v>249</v>
      </c>
      <c r="D32" s="142" t="s">
        <v>245</v>
      </c>
      <c r="E32" s="142" t="s">
        <v>344</v>
      </c>
      <c r="F32" s="143">
        <f t="shared" si="0"/>
        <v>54</v>
      </c>
      <c r="G32" s="143" t="str">
        <f>IFERROR(INDEX($A$2:$A$226,MATCH(ROWS($F$2:F32),$F$2:$F$226,0)),"")</f>
        <v>CHRISTINE DUNCAN COMMUNITY</v>
      </c>
      <c r="H32" s="144">
        <f>IF(ISERROR(SEARCH('CASH REPORT'!$C$1,$G32)),0,1)</f>
        <v>1</v>
      </c>
      <c r="I32" s="144">
        <f>IF($H32=0,"",COUNTIF($H$2:H32,1))</f>
        <v>31</v>
      </c>
      <c r="J32" s="144" t="str">
        <f t="shared" si="1"/>
        <v>CHRISTINE DUNCAN COMMUNITY</v>
      </c>
    </row>
    <row r="33" spans="1:10" x14ac:dyDescent="0.25">
      <c r="A33" s="142" t="s">
        <v>345</v>
      </c>
      <c r="B33" s="142" t="s">
        <v>346</v>
      </c>
      <c r="C33" s="142" t="s">
        <v>257</v>
      </c>
      <c r="D33" s="142" t="s">
        <v>347</v>
      </c>
      <c r="E33" s="142" t="s">
        <v>348</v>
      </c>
      <c r="F33" s="143">
        <f t="shared" si="0"/>
        <v>58</v>
      </c>
      <c r="G33" s="143" t="str">
        <f>IFERROR(INDEX($A$2:$A$226,MATCH(ROWS($F$2:F33),$F$2:$F$226,0)),"")</f>
        <v>CIEN AGUAS INTERNATIONAL</v>
      </c>
      <c r="H33" s="144">
        <f>IF(ISERROR(SEARCH('CASH REPORT'!$C$1,$G33)),0,1)</f>
        <v>1</v>
      </c>
      <c r="I33" s="144">
        <f>IF($H33=0,"",COUNTIF($H$2:H33,1))</f>
        <v>32</v>
      </c>
      <c r="J33" s="144" t="str">
        <f t="shared" si="1"/>
        <v>CIEN AGUAS INTERNATIONAL</v>
      </c>
    </row>
    <row r="34" spans="1:10" x14ac:dyDescent="0.25">
      <c r="A34" s="142" t="s">
        <v>349</v>
      </c>
      <c r="B34" s="142" t="s">
        <v>350</v>
      </c>
      <c r="C34" s="142" t="s">
        <v>257</v>
      </c>
      <c r="D34" s="142" t="s">
        <v>258</v>
      </c>
      <c r="E34" s="142" t="s">
        <v>351</v>
      </c>
      <c r="F34" s="143">
        <f t="shared" si="0"/>
        <v>60</v>
      </c>
      <c r="G34" s="143" t="str">
        <f>IFERROR(INDEX($A$2:$A$226,MATCH(ROWS($F$2:F34),$F$2:$F$226,0)),"")</f>
        <v>CIMARRON</v>
      </c>
      <c r="H34" s="144">
        <f>IF(ISERROR(SEARCH('CASH REPORT'!$C$1,$G34)),0,1)</f>
        <v>1</v>
      </c>
      <c r="I34" s="144">
        <f>IF($H34=0,"",COUNTIF($H$2:H34,1))</f>
        <v>33</v>
      </c>
      <c r="J34" s="144" t="str">
        <f t="shared" si="1"/>
        <v>CIMARRON</v>
      </c>
    </row>
    <row r="35" spans="1:10" x14ac:dyDescent="0.25">
      <c r="A35" s="142"/>
      <c r="B35" s="142"/>
      <c r="C35" s="142"/>
      <c r="D35" s="142"/>
      <c r="E35" s="142"/>
      <c r="F35" s="143">
        <f t="shared" si="0"/>
        <v>0</v>
      </c>
      <c r="G35" s="143" t="str">
        <f>IFERROR(INDEX($A$2:$A$226,MATCH(ROWS($F$2:F35),$F$2:$F$226,0)),"")</f>
        <v>CLAYTON</v>
      </c>
      <c r="H35" s="144">
        <f>IF(ISERROR(SEARCH('CASH REPORT'!$C$1,$G35)),0,1)</f>
        <v>1</v>
      </c>
      <c r="I35" s="144">
        <f>IF($H35=0,"",COUNTIF($H$2:H35,1))</f>
        <v>34</v>
      </c>
      <c r="J35" s="144" t="str">
        <f t="shared" si="1"/>
        <v>CLAYTON</v>
      </c>
    </row>
    <row r="36" spans="1:10" x14ac:dyDescent="0.25">
      <c r="A36" s="142" t="s">
        <v>352</v>
      </c>
      <c r="B36" s="142" t="s">
        <v>353</v>
      </c>
      <c r="C36" s="142" t="s">
        <v>49</v>
      </c>
      <c r="D36" s="142" t="s">
        <v>354</v>
      </c>
      <c r="E36" s="142" t="s">
        <v>355</v>
      </c>
      <c r="F36" s="143">
        <f t="shared" si="0"/>
        <v>18</v>
      </c>
      <c r="G36" s="143" t="str">
        <f>IFERROR(INDEX($A$2:$A$226,MATCH(ROWS($F$2:F36),$F$2:$F$226,0)),"")</f>
        <v>CLOUDCROFT</v>
      </c>
      <c r="H36" s="144">
        <f>IF(ISERROR(SEARCH('CASH REPORT'!$C$1,$G36)),0,1)</f>
        <v>1</v>
      </c>
      <c r="I36" s="144">
        <f>IF($H36=0,"",COUNTIF($H$2:H36,1))</f>
        <v>35</v>
      </c>
      <c r="J36" s="144" t="str">
        <f t="shared" si="1"/>
        <v>CLOUDCROFT</v>
      </c>
    </row>
    <row r="37" spans="1:10" x14ac:dyDescent="0.25">
      <c r="A37" s="142" t="s">
        <v>356</v>
      </c>
      <c r="B37" s="142" t="s">
        <v>357</v>
      </c>
      <c r="C37" s="142" t="s">
        <v>49</v>
      </c>
      <c r="D37" s="142" t="s">
        <v>358</v>
      </c>
      <c r="E37" s="142" t="s">
        <v>359</v>
      </c>
      <c r="F37" s="143">
        <f t="shared" si="0"/>
        <v>19</v>
      </c>
      <c r="G37" s="143" t="str">
        <f>IFERROR(INDEX($A$2:$A$226,MATCH(ROWS($F$2:F37),$F$2:$F$226,0)),"")</f>
        <v>CLOVIS</v>
      </c>
      <c r="H37" s="144">
        <f>IF(ISERROR(SEARCH('CASH REPORT'!$C$1,$G37)),0,1)</f>
        <v>1</v>
      </c>
      <c r="I37" s="144">
        <f>IF($H37=0,"",COUNTIF($H$2:H37,1))</f>
        <v>36</v>
      </c>
      <c r="J37" s="144" t="str">
        <f t="shared" si="1"/>
        <v>CLOVIS</v>
      </c>
    </row>
    <row r="38" spans="1:10" x14ac:dyDescent="0.25">
      <c r="A38" s="142" t="s">
        <v>360</v>
      </c>
      <c r="B38" s="142" t="s">
        <v>361</v>
      </c>
      <c r="C38" s="142" t="s">
        <v>49</v>
      </c>
      <c r="D38" s="142" t="s">
        <v>337</v>
      </c>
      <c r="E38" s="142" t="s">
        <v>362</v>
      </c>
      <c r="F38" s="143">
        <f t="shared" si="0"/>
        <v>21</v>
      </c>
      <c r="G38" s="143" t="str">
        <f>IFERROR(INDEX($A$2:$A$226,MATCH(ROWS($F$2:F38),$F$2:$F$226,0)),"")</f>
        <v>COBRE CONS.</v>
      </c>
      <c r="H38" s="144">
        <f>IF(ISERROR(SEARCH('CASH REPORT'!$C$1,$G38)),0,1)</f>
        <v>1</v>
      </c>
      <c r="I38" s="144">
        <f>IF($H38=0,"",COUNTIF($H$2:H38,1))</f>
        <v>37</v>
      </c>
      <c r="J38" s="144" t="str">
        <f t="shared" si="1"/>
        <v>COBRE CONS.</v>
      </c>
    </row>
    <row r="39" spans="1:10" x14ac:dyDescent="0.25">
      <c r="A39" s="145" t="s">
        <v>363</v>
      </c>
      <c r="B39" s="145" t="s">
        <v>364</v>
      </c>
      <c r="C39" s="145" t="s">
        <v>257</v>
      </c>
      <c r="D39" s="145" t="s">
        <v>287</v>
      </c>
      <c r="E39" s="142" t="s">
        <v>365</v>
      </c>
      <c r="F39" s="143">
        <f t="shared" si="0"/>
        <v>61</v>
      </c>
      <c r="G39" s="143" t="str">
        <f>IFERROR(INDEX($A$2:$A$226,MATCH(ROWS($F$2:F39),$F$2:$F$226,0)),"")</f>
        <v>CORAL COMMUNITY</v>
      </c>
      <c r="H39" s="144">
        <f>IF(ISERROR(SEARCH('CASH REPORT'!$C$1,$G39)),0,1)</f>
        <v>1</v>
      </c>
      <c r="I39" s="144">
        <f>IF($H39=0,"",COUNTIF($H$2:H39,1))</f>
        <v>38</v>
      </c>
      <c r="J39" s="144" t="str">
        <f t="shared" si="1"/>
        <v>CORAL COMMUNITY</v>
      </c>
    </row>
    <row r="40" spans="1:10" x14ac:dyDescent="0.25">
      <c r="A40" s="142"/>
      <c r="B40" s="142"/>
      <c r="C40" s="142"/>
      <c r="D40" s="142"/>
      <c r="E40" s="142"/>
      <c r="F40" s="143">
        <f t="shared" si="0"/>
        <v>0</v>
      </c>
      <c r="G40" s="143" t="str">
        <f>IFERROR(INDEX($A$2:$A$226,MATCH(ROWS($F$2:F40),$F$2:$F$226,0)),"")</f>
        <v>CORONA</v>
      </c>
      <c r="H40" s="144">
        <f>IF(ISERROR(SEARCH('CASH REPORT'!$C$1,$G40)),0,1)</f>
        <v>1</v>
      </c>
      <c r="I40" s="144">
        <f>IF($H40=0,"",COUNTIF($H$2:H40,1))</f>
        <v>39</v>
      </c>
      <c r="J40" s="144" t="str">
        <f t="shared" si="1"/>
        <v>CORONA</v>
      </c>
    </row>
    <row r="41" spans="1:10" x14ac:dyDescent="0.25">
      <c r="A41" s="142" t="s">
        <v>366</v>
      </c>
      <c r="B41" s="142" t="s">
        <v>367</v>
      </c>
      <c r="C41" s="142" t="s">
        <v>49</v>
      </c>
      <c r="D41" s="142" t="s">
        <v>368</v>
      </c>
      <c r="E41" s="142" t="s">
        <v>369</v>
      </c>
      <c r="F41" s="143">
        <f t="shared" si="0"/>
        <v>22</v>
      </c>
      <c r="G41" s="143" t="str">
        <f>IFERROR(INDEX($A$2:$A$226,MATCH(ROWS($F$2:F41),$F$2:$F$226,0)),"")</f>
        <v>CORRALES INTERNATIONAL</v>
      </c>
      <c r="H41" s="144">
        <f>IF(ISERROR(SEARCH('CASH REPORT'!$C$1,$G41)),0,1)</f>
        <v>1</v>
      </c>
      <c r="I41" s="144">
        <f>IF($H41=0,"",COUNTIF($H$2:H41,1))</f>
        <v>40</v>
      </c>
      <c r="J41" s="144" t="str">
        <f t="shared" si="1"/>
        <v>CORRALES INTERNATIONAL</v>
      </c>
    </row>
    <row r="42" spans="1:10" x14ac:dyDescent="0.25">
      <c r="A42" s="142" t="s">
        <v>370</v>
      </c>
      <c r="B42" s="142" t="s">
        <v>371</v>
      </c>
      <c r="C42" s="142" t="s">
        <v>49</v>
      </c>
      <c r="D42" s="142" t="s">
        <v>301</v>
      </c>
      <c r="E42" s="142" t="s">
        <v>258</v>
      </c>
      <c r="F42" s="143">
        <f t="shared" si="0"/>
        <v>23</v>
      </c>
      <c r="G42" s="143" t="str">
        <f>IFERROR(INDEX($A$2:$A$226,MATCH(ROWS($F$2:F42),$F$2:$F$226,0)),"")</f>
        <v>COTTONWOOD CLASSICAL ST. CHARTER</v>
      </c>
      <c r="H42" s="144">
        <f>IF(ISERROR(SEARCH('CASH REPORT'!$C$1,$G42)),0,1)</f>
        <v>1</v>
      </c>
      <c r="I42" s="144">
        <f>IF($H42=0,"",COUNTIF($H$2:H42,1))</f>
        <v>41</v>
      </c>
      <c r="J42" s="144" t="str">
        <f t="shared" si="1"/>
        <v>COTTONWOOD CLASSICAL ST. CHARTER</v>
      </c>
    </row>
    <row r="43" spans="1:10" x14ac:dyDescent="0.25">
      <c r="A43" s="142" t="s">
        <v>372</v>
      </c>
      <c r="B43" s="142" t="s">
        <v>373</v>
      </c>
      <c r="C43" s="142" t="s">
        <v>49</v>
      </c>
      <c r="D43" s="142" t="s">
        <v>337</v>
      </c>
      <c r="E43" s="142" t="s">
        <v>374</v>
      </c>
      <c r="F43" s="143">
        <f t="shared" si="0"/>
        <v>24</v>
      </c>
      <c r="G43" s="143" t="str">
        <f>IFERROR(INDEX($A$2:$A$226,MATCH(ROWS($F$2:F43),$F$2:$F$226,0)),"")</f>
        <v>COTTONWOOD VALLEY CHARTER</v>
      </c>
      <c r="H43" s="144">
        <f>IF(ISERROR(SEARCH('CASH REPORT'!$C$1,$G43)),0,1)</f>
        <v>1</v>
      </c>
      <c r="I43" s="144">
        <f>IF($H43=0,"",COUNTIF($H$2:H43,1))</f>
        <v>42</v>
      </c>
      <c r="J43" s="144" t="str">
        <f t="shared" si="1"/>
        <v>COTTONWOOD VALLEY CHARTER</v>
      </c>
    </row>
    <row r="44" spans="1:10" x14ac:dyDescent="0.25">
      <c r="A44" s="142" t="s">
        <v>375</v>
      </c>
      <c r="B44" s="142" t="s">
        <v>376</v>
      </c>
      <c r="C44" s="142" t="s">
        <v>49</v>
      </c>
      <c r="D44" s="142" t="s">
        <v>377</v>
      </c>
      <c r="E44" s="142" t="s">
        <v>378</v>
      </c>
      <c r="F44" s="143">
        <f t="shared" si="0"/>
        <v>25</v>
      </c>
      <c r="G44" s="143" t="str">
        <f>IFERROR(INDEX($A$2:$A$226,MATCH(ROWS($F$2:F44),$F$2:$F$226,0)),"")</f>
        <v>CUBA</v>
      </c>
      <c r="H44" s="144">
        <f>IF(ISERROR(SEARCH('CASH REPORT'!$C$1,$G44)),0,1)</f>
        <v>1</v>
      </c>
      <c r="I44" s="144">
        <f>IF($H44=0,"",COUNTIF($H$2:H44,1))</f>
        <v>43</v>
      </c>
      <c r="J44" s="144" t="str">
        <f t="shared" si="1"/>
        <v>CUBA</v>
      </c>
    </row>
    <row r="45" spans="1:10" x14ac:dyDescent="0.25">
      <c r="A45" s="142" t="s">
        <v>379</v>
      </c>
      <c r="B45" s="142" t="s">
        <v>380</v>
      </c>
      <c r="C45" s="142" t="s">
        <v>49</v>
      </c>
      <c r="D45" s="142" t="s">
        <v>381</v>
      </c>
      <c r="E45" s="142" t="s">
        <v>382</v>
      </c>
      <c r="F45" s="143">
        <f t="shared" si="0"/>
        <v>26</v>
      </c>
      <c r="G45" s="143" t="str">
        <f>IFERROR(INDEX($A$2:$A$226,MATCH(ROWS($F$2:F45),$F$2:$F$226,0)),"")</f>
        <v>DEAP</v>
      </c>
      <c r="H45" s="144">
        <f>IF(ISERROR(SEARCH('CASH REPORT'!$C$1,$G45)),0,1)</f>
        <v>1</v>
      </c>
      <c r="I45" s="144">
        <f>IF($H45=0,"",COUNTIF($H$2:H45,1))</f>
        <v>44</v>
      </c>
      <c r="J45" s="144" t="str">
        <f t="shared" si="1"/>
        <v>DEAP</v>
      </c>
    </row>
    <row r="46" spans="1:10" x14ac:dyDescent="0.25">
      <c r="A46" s="142" t="s">
        <v>383</v>
      </c>
      <c r="B46" s="142" t="s">
        <v>384</v>
      </c>
      <c r="C46" s="142" t="s">
        <v>249</v>
      </c>
      <c r="D46" s="142" t="s">
        <v>245</v>
      </c>
      <c r="E46" s="142" t="s">
        <v>385</v>
      </c>
      <c r="F46" s="143">
        <f t="shared" si="0"/>
        <v>67</v>
      </c>
      <c r="G46" s="143" t="str">
        <f>IFERROR(INDEX($A$2:$A$226,MATCH(ROWS($F$2:F46),$F$2:$F$226,0)),"")</f>
        <v>DEMING</v>
      </c>
      <c r="H46" s="144">
        <f>IF(ISERROR(SEARCH('CASH REPORT'!$C$1,$G46)),0,1)</f>
        <v>1</v>
      </c>
      <c r="I46" s="144">
        <f>IF($H46=0,"",COUNTIF($H$2:H46,1))</f>
        <v>45</v>
      </c>
      <c r="J46" s="144" t="str">
        <f t="shared" si="1"/>
        <v>DEMING</v>
      </c>
    </row>
    <row r="47" spans="1:10" x14ac:dyDescent="0.25">
      <c r="A47" s="142" t="s">
        <v>386</v>
      </c>
      <c r="B47" s="142" t="s">
        <v>387</v>
      </c>
      <c r="C47" s="142" t="s">
        <v>249</v>
      </c>
      <c r="D47" s="142" t="s">
        <v>245</v>
      </c>
      <c r="E47" s="142" t="s">
        <v>388</v>
      </c>
      <c r="F47" s="143">
        <f t="shared" si="0"/>
        <v>68</v>
      </c>
      <c r="G47" s="143" t="str">
        <f>IFERROR(INDEX($A$2:$A$226,MATCH(ROWS($F$2:F47),$F$2:$F$226,0)),"")</f>
        <v>DEMING CESAR CHAVEZ</v>
      </c>
      <c r="H47" s="144">
        <f>IF(ISERROR(SEARCH('CASH REPORT'!$C$1,$G47)),0,1)</f>
        <v>1</v>
      </c>
      <c r="I47" s="144">
        <f>IF($H47=0,"",COUNTIF($H$2:H47,1))</f>
        <v>46</v>
      </c>
      <c r="J47" s="144" t="str">
        <f t="shared" si="1"/>
        <v>DEMING CESAR CHAVEZ</v>
      </c>
    </row>
    <row r="48" spans="1:10" x14ac:dyDescent="0.25">
      <c r="A48" s="142"/>
      <c r="B48" s="142"/>
      <c r="C48" s="142"/>
      <c r="D48" s="142"/>
      <c r="E48" s="142"/>
      <c r="F48" s="143">
        <f t="shared" si="0"/>
        <v>0</v>
      </c>
      <c r="G48" s="143" t="str">
        <f>IFERROR(INDEX($A$2:$A$226,MATCH(ROWS($F$2:F48),$F$2:$F$226,0)),"")</f>
        <v>DES MOINES</v>
      </c>
      <c r="H48" s="144">
        <f>IF(ISERROR(SEARCH('CASH REPORT'!$C$1,$G48)),0,1)</f>
        <v>1</v>
      </c>
      <c r="I48" s="144">
        <f>IF($H48=0,"",COUNTIF($H$2:H48,1))</f>
        <v>47</v>
      </c>
      <c r="J48" s="144" t="str">
        <f t="shared" si="1"/>
        <v>DES MOINES</v>
      </c>
    </row>
    <row r="49" spans="1:10" x14ac:dyDescent="0.25">
      <c r="A49" s="142" t="s">
        <v>389</v>
      </c>
      <c r="B49" s="142" t="s">
        <v>390</v>
      </c>
      <c r="C49" s="142" t="s">
        <v>49</v>
      </c>
      <c r="D49" s="142" t="s">
        <v>391</v>
      </c>
      <c r="E49" s="142" t="s">
        <v>392</v>
      </c>
      <c r="F49" s="143">
        <f t="shared" si="0"/>
        <v>27</v>
      </c>
      <c r="G49" s="143" t="str">
        <f>IFERROR(INDEX($A$2:$A$226,MATCH(ROWS($F$2:F49),$F$2:$F$226,0)),"")</f>
        <v>DEXTER</v>
      </c>
      <c r="H49" s="144">
        <f>IF(ISERROR(SEARCH('CASH REPORT'!$C$1,$G49)),0,1)</f>
        <v>1</v>
      </c>
      <c r="I49" s="144">
        <f>IF($H49=0,"",COUNTIF($H$2:H49,1))</f>
        <v>48</v>
      </c>
      <c r="J49" s="144" t="str">
        <f t="shared" si="1"/>
        <v>DEXTER</v>
      </c>
    </row>
    <row r="50" spans="1:10" x14ac:dyDescent="0.25">
      <c r="A50" s="142" t="s">
        <v>393</v>
      </c>
      <c r="B50" s="142" t="s">
        <v>394</v>
      </c>
      <c r="C50" s="142" t="s">
        <v>49</v>
      </c>
      <c r="D50" s="142" t="s">
        <v>337</v>
      </c>
      <c r="E50" s="142" t="s">
        <v>395</v>
      </c>
      <c r="F50" s="143">
        <f t="shared" si="0"/>
        <v>28</v>
      </c>
      <c r="G50" s="143" t="str">
        <f>IFERROR(INDEX($A$2:$A$226,MATCH(ROWS($F$2:F50),$F$2:$F$226,0)),"")</f>
        <v>DIGITAL ARTS &amp; TECH ACADEMY</v>
      </c>
      <c r="H50" s="144">
        <f>IF(ISERROR(SEARCH('CASH REPORT'!$C$1,$G50)),0,1)</f>
        <v>1</v>
      </c>
      <c r="I50" s="144">
        <f>IF($H50=0,"",COUNTIF($H$2:H50,1))</f>
        <v>49</v>
      </c>
      <c r="J50" s="144" t="str">
        <f t="shared" si="1"/>
        <v>DIGITAL ARTS &amp; TECH ACADEMY</v>
      </c>
    </row>
    <row r="51" spans="1:10" x14ac:dyDescent="0.25">
      <c r="A51" s="142" t="s">
        <v>396</v>
      </c>
      <c r="B51" s="142" t="s">
        <v>397</v>
      </c>
      <c r="C51" s="142" t="s">
        <v>249</v>
      </c>
      <c r="D51" s="142" t="s">
        <v>245</v>
      </c>
      <c r="E51" s="142" t="s">
        <v>398</v>
      </c>
      <c r="F51" s="143">
        <f t="shared" si="0"/>
        <v>73</v>
      </c>
      <c r="G51" s="143" t="str">
        <f>IFERROR(INDEX($A$2:$A$226,MATCH(ROWS($F$2:F51),$F$2:$F$226,0)),"")</f>
        <v>DORA</v>
      </c>
      <c r="H51" s="144">
        <f>IF(ISERROR(SEARCH('CASH REPORT'!$C$1,$G51)),0,1)</f>
        <v>1</v>
      </c>
      <c r="I51" s="144">
        <f>IF($H51=0,"",COUNTIF($H$2:H51,1))</f>
        <v>50</v>
      </c>
      <c r="J51" s="144" t="str">
        <f t="shared" si="1"/>
        <v>DORA</v>
      </c>
    </row>
    <row r="52" spans="1:10" x14ac:dyDescent="0.25">
      <c r="A52" s="142"/>
      <c r="B52" s="142"/>
      <c r="C52" s="142"/>
      <c r="D52" s="142"/>
      <c r="E52" s="142"/>
      <c r="F52" s="143">
        <f t="shared" si="0"/>
        <v>0</v>
      </c>
      <c r="G52" s="143" t="str">
        <f>IFERROR(INDEX($A$2:$A$226,MATCH(ROWS($F$2:F52),$F$2:$F$226,0)),"")</f>
        <v>DREAM DINE'</v>
      </c>
      <c r="H52" s="144">
        <f>IF(ISERROR(SEARCH('CASH REPORT'!$C$1,$G52)),0,1)</f>
        <v>1</v>
      </c>
      <c r="I52" s="144">
        <f>IF($H52=0,"",COUNTIF($H$2:H52,1))</f>
        <v>51</v>
      </c>
      <c r="J52" s="144" t="str">
        <f t="shared" si="1"/>
        <v>DREAM DINE'</v>
      </c>
    </row>
    <row r="53" spans="1:10" x14ac:dyDescent="0.25">
      <c r="A53" s="142" t="s">
        <v>399</v>
      </c>
      <c r="B53" s="142" t="s">
        <v>400</v>
      </c>
      <c r="C53" s="142" t="s">
        <v>49</v>
      </c>
      <c r="D53" s="142" t="s">
        <v>401</v>
      </c>
      <c r="E53" s="142" t="s">
        <v>402</v>
      </c>
      <c r="F53" s="143">
        <f t="shared" si="0"/>
        <v>30</v>
      </c>
      <c r="G53" s="143" t="str">
        <f>IFERROR(INDEX($A$2:$A$226,MATCH(ROWS($F$2:F53),$F$2:$F$226,0)),"")</f>
        <v>DULCE</v>
      </c>
      <c r="H53" s="144">
        <f>IF(ISERROR(SEARCH('CASH REPORT'!$C$1,$G53)),0,1)</f>
        <v>1</v>
      </c>
      <c r="I53" s="144">
        <f>IF($H53=0,"",COUNTIF($H$2:H53,1))</f>
        <v>52</v>
      </c>
      <c r="J53" s="144" t="str">
        <f t="shared" si="1"/>
        <v>DULCE</v>
      </c>
    </row>
    <row r="54" spans="1:10" x14ac:dyDescent="0.25">
      <c r="A54" s="142" t="s">
        <v>403</v>
      </c>
      <c r="B54" s="142" t="s">
        <v>404</v>
      </c>
      <c r="C54" s="142" t="s">
        <v>49</v>
      </c>
      <c r="D54" s="142" t="s">
        <v>405</v>
      </c>
      <c r="E54" s="142" t="s">
        <v>406</v>
      </c>
      <c r="F54" s="143">
        <f t="shared" si="0"/>
        <v>33</v>
      </c>
      <c r="G54" s="143" t="str">
        <f>IFERROR(INDEX($A$2:$A$226,MATCH(ROWS($F$2:F54),$F$2:$F$226,0)),"")</f>
        <v>EAST MOUNTAIN</v>
      </c>
      <c r="H54" s="144">
        <f>IF(ISERROR(SEARCH('CASH REPORT'!$C$1,$G54)),0,1)</f>
        <v>1</v>
      </c>
      <c r="I54" s="144">
        <f>IF($H54=0,"",COUNTIF($H$2:H54,1))</f>
        <v>53</v>
      </c>
      <c r="J54" s="144" t="str">
        <f t="shared" si="1"/>
        <v>EAST MOUNTAIN</v>
      </c>
    </row>
    <row r="55" spans="1:10" x14ac:dyDescent="0.25">
      <c r="A55" s="142" t="s">
        <v>407</v>
      </c>
      <c r="B55" s="142" t="s">
        <v>408</v>
      </c>
      <c r="C55" s="142" t="s">
        <v>257</v>
      </c>
      <c r="D55" s="142" t="s">
        <v>258</v>
      </c>
      <c r="E55" s="142" t="s">
        <v>409</v>
      </c>
      <c r="F55" s="143">
        <f t="shared" si="0"/>
        <v>76</v>
      </c>
      <c r="G55" s="143" t="str">
        <f>IFERROR(INDEX($A$2:$A$226,MATCH(ROWS($F$2:F55),$F$2:$F$226,0)),"")</f>
        <v>EL CAMINO REAL</v>
      </c>
      <c r="H55" s="144">
        <f>IF(ISERROR(SEARCH('CASH REPORT'!$C$1,$G55)),0,1)</f>
        <v>1</v>
      </c>
      <c r="I55" s="144">
        <f>IF($H55=0,"",COUNTIF($H$2:H55,1))</f>
        <v>54</v>
      </c>
      <c r="J55" s="144" t="str">
        <f t="shared" si="1"/>
        <v>EL CAMINO REAL</v>
      </c>
    </row>
    <row r="56" spans="1:10" x14ac:dyDescent="0.25">
      <c r="A56" s="142"/>
      <c r="B56" s="142"/>
      <c r="C56" s="142"/>
      <c r="D56" s="142"/>
      <c r="E56" s="142"/>
      <c r="F56" s="143">
        <f t="shared" si="0"/>
        <v>0</v>
      </c>
      <c r="G56" s="143" t="str">
        <f>IFERROR(INDEX($A$2:$A$226,MATCH(ROWS($F$2:F56),$F$2:$F$226,0)),"")</f>
        <v>ELIDA</v>
      </c>
      <c r="H56" s="144">
        <f>IF(ISERROR(SEARCH('CASH REPORT'!$C$1,$G56)),0,1)</f>
        <v>1</v>
      </c>
      <c r="I56" s="144">
        <f>IF($H56=0,"",COUNTIF($H$2:H56,1))</f>
        <v>55</v>
      </c>
      <c r="J56" s="144" t="str">
        <f t="shared" si="1"/>
        <v>ELIDA</v>
      </c>
    </row>
    <row r="57" spans="1:10" x14ac:dyDescent="0.25">
      <c r="A57" s="142" t="s">
        <v>410</v>
      </c>
      <c r="B57" s="142" t="s">
        <v>411</v>
      </c>
      <c r="C57" s="142" t="s">
        <v>49</v>
      </c>
      <c r="D57" s="142" t="s">
        <v>412</v>
      </c>
      <c r="E57" s="142" t="s">
        <v>413</v>
      </c>
      <c r="F57" s="143">
        <f t="shared" si="0"/>
        <v>34</v>
      </c>
      <c r="G57" s="143" t="str">
        <f>IFERROR(INDEX($A$2:$A$226,MATCH(ROWS($F$2:F57),$F$2:$F$226,0)),"")</f>
        <v>ESPAÑOLA</v>
      </c>
      <c r="H57" s="144">
        <f>IF(ISERROR(SEARCH('CASH REPORT'!$C$1,$G57)),0,1)</f>
        <v>1</v>
      </c>
      <c r="I57" s="144">
        <f>IF($H57=0,"",COUNTIF($H$2:H57,1))</f>
        <v>56</v>
      </c>
      <c r="J57" s="144" t="str">
        <f t="shared" si="1"/>
        <v>ESPAÑOLA</v>
      </c>
    </row>
    <row r="58" spans="1:10" x14ac:dyDescent="0.25">
      <c r="A58" s="142" t="s">
        <v>414</v>
      </c>
      <c r="B58" s="142" t="s">
        <v>415</v>
      </c>
      <c r="C58" s="142" t="s">
        <v>49</v>
      </c>
      <c r="D58" s="142" t="s">
        <v>241</v>
      </c>
      <c r="E58" s="142" t="s">
        <v>416</v>
      </c>
      <c r="F58" s="143">
        <f t="shared" si="0"/>
        <v>35</v>
      </c>
      <c r="G58" s="143" t="str">
        <f>IFERROR(INDEX($A$2:$A$226,MATCH(ROWS($F$2:F58),$F$2:$F$226,0)),"")</f>
        <v>ESTANCIA</v>
      </c>
      <c r="H58" s="144">
        <f>IF(ISERROR(SEARCH('CASH REPORT'!$C$1,$G58)),0,1)</f>
        <v>1</v>
      </c>
      <c r="I58" s="144">
        <f>IF($H58=0,"",COUNTIF($H$2:H58,1))</f>
        <v>57</v>
      </c>
      <c r="J58" s="144" t="str">
        <f t="shared" si="1"/>
        <v>ESTANCIA</v>
      </c>
    </row>
    <row r="59" spans="1:10" x14ac:dyDescent="0.25">
      <c r="A59" s="142" t="s">
        <v>417</v>
      </c>
      <c r="B59" s="142" t="s">
        <v>418</v>
      </c>
      <c r="C59" s="142" t="s">
        <v>49</v>
      </c>
      <c r="D59" s="142" t="s">
        <v>419</v>
      </c>
      <c r="E59" s="142" t="s">
        <v>420</v>
      </c>
      <c r="F59" s="143">
        <f t="shared" si="0"/>
        <v>36</v>
      </c>
      <c r="G59" s="143" t="str">
        <f>IFERROR(INDEX($A$2:$A$226,MATCH(ROWS($F$2:F59),$F$2:$F$226,0)),"")</f>
        <v>ESTANCIA VALLEY</v>
      </c>
      <c r="H59" s="144">
        <f>IF(ISERROR(SEARCH('CASH REPORT'!$C$1,$G59)),0,1)</f>
        <v>1</v>
      </c>
      <c r="I59" s="144">
        <f>IF($H59=0,"",COUNTIF($H$2:H59,1))</f>
        <v>58</v>
      </c>
      <c r="J59" s="144" t="str">
        <f t="shared" si="1"/>
        <v>ESTANCIA VALLEY</v>
      </c>
    </row>
    <row r="60" spans="1:10" x14ac:dyDescent="0.25">
      <c r="A60" s="142" t="s">
        <v>421</v>
      </c>
      <c r="B60" s="142" t="s">
        <v>422</v>
      </c>
      <c r="C60" s="142" t="s">
        <v>49</v>
      </c>
      <c r="D60" s="142" t="s">
        <v>280</v>
      </c>
      <c r="E60" s="142" t="s">
        <v>423</v>
      </c>
      <c r="F60" s="143">
        <f t="shared" si="0"/>
        <v>37</v>
      </c>
      <c r="G60" s="143" t="str">
        <f>IFERROR(INDEX($A$2:$A$226,MATCH(ROWS($F$2:F60),$F$2:$F$226,0)),"")</f>
        <v>EUNICE</v>
      </c>
      <c r="H60" s="144">
        <f>IF(ISERROR(SEARCH('CASH REPORT'!$C$1,$G60)),0,1)</f>
        <v>1</v>
      </c>
      <c r="I60" s="144">
        <f>IF($H60=0,"",COUNTIF($H$2:H60,1))</f>
        <v>59</v>
      </c>
      <c r="J60" s="144" t="str">
        <f t="shared" si="1"/>
        <v>EUNICE</v>
      </c>
    </row>
    <row r="61" spans="1:10" x14ac:dyDescent="0.25">
      <c r="A61" s="142" t="s">
        <v>424</v>
      </c>
      <c r="B61" s="142" t="s">
        <v>425</v>
      </c>
      <c r="C61" s="142" t="s">
        <v>49</v>
      </c>
      <c r="D61" s="142" t="s">
        <v>426</v>
      </c>
      <c r="E61" s="142" t="s">
        <v>427</v>
      </c>
      <c r="F61" s="143">
        <f t="shared" si="0"/>
        <v>39</v>
      </c>
      <c r="G61" s="143" t="str">
        <f>IFERROR(INDEX($A$2:$A$226,MATCH(ROWS($F$2:F61),$F$2:$F$226,0)),"")</f>
        <v>EXPLORE ACADEMY</v>
      </c>
      <c r="H61" s="144">
        <f>IF(ISERROR(SEARCH('CASH REPORT'!$C$1,$G61)),0,1)</f>
        <v>1</v>
      </c>
      <c r="I61" s="144">
        <f>IF($H61=0,"",COUNTIF($H$2:H61,1))</f>
        <v>60</v>
      </c>
      <c r="J61" s="144" t="str">
        <f t="shared" si="1"/>
        <v>EXPLORE ACADEMY</v>
      </c>
    </row>
    <row r="62" spans="1:10" x14ac:dyDescent="0.25">
      <c r="A62" s="142" t="s">
        <v>428</v>
      </c>
      <c r="B62" s="142" t="s">
        <v>429</v>
      </c>
      <c r="C62" s="142" t="s">
        <v>49</v>
      </c>
      <c r="D62" s="142" t="s">
        <v>301</v>
      </c>
      <c r="E62" s="142" t="s">
        <v>430</v>
      </c>
      <c r="F62" s="143">
        <f t="shared" si="0"/>
        <v>43</v>
      </c>
      <c r="G62" s="143" t="str">
        <f>IFERROR(INDEX($A$2:$A$226,MATCH(ROWS($F$2:F62),$F$2:$F$226,0)),"")</f>
        <v>EXPLORE ACADEMY - LAS CRUCES</v>
      </c>
      <c r="H62" s="144">
        <f>IF(ISERROR(SEARCH('CASH REPORT'!$C$1,$G62)),0,1)</f>
        <v>1</v>
      </c>
      <c r="I62" s="144">
        <f>IF($H62=0,"",COUNTIF($H$2:H62,1))</f>
        <v>61</v>
      </c>
      <c r="J62" s="144" t="str">
        <f t="shared" si="1"/>
        <v>EXPLORE ACADEMY - LAS CRUCES</v>
      </c>
    </row>
    <row r="63" spans="1:10" x14ac:dyDescent="0.25">
      <c r="A63" s="142" t="s">
        <v>431</v>
      </c>
      <c r="B63" s="142" t="s">
        <v>432</v>
      </c>
      <c r="C63" s="142" t="s">
        <v>49</v>
      </c>
      <c r="D63" s="142" t="s">
        <v>330</v>
      </c>
      <c r="E63" s="142" t="s">
        <v>433</v>
      </c>
      <c r="F63" s="143">
        <f t="shared" si="0"/>
        <v>45</v>
      </c>
      <c r="G63" s="143" t="str">
        <f>IFERROR(INDEX($A$2:$A$226,MATCH(ROWS($F$2:F63),$F$2:$F$226,0)),"")</f>
        <v>FARMINGTON</v>
      </c>
      <c r="H63" s="144">
        <f>IF(ISERROR(SEARCH('CASH REPORT'!$C$1,$G63)),0,1)</f>
        <v>1</v>
      </c>
      <c r="I63" s="144">
        <f>IF($H63=0,"",COUNTIF($H$2:H63,1))</f>
        <v>62</v>
      </c>
      <c r="J63" s="144" t="str">
        <f t="shared" si="1"/>
        <v>FARMINGTON</v>
      </c>
    </row>
    <row r="64" spans="1:10" x14ac:dyDescent="0.25">
      <c r="A64" s="142" t="s">
        <v>434</v>
      </c>
      <c r="B64" s="142" t="s">
        <v>435</v>
      </c>
      <c r="C64" s="142" t="s">
        <v>257</v>
      </c>
      <c r="D64" s="142" t="s">
        <v>327</v>
      </c>
      <c r="E64" s="142" t="s">
        <v>436</v>
      </c>
      <c r="F64" s="143">
        <f t="shared" si="0"/>
        <v>78</v>
      </c>
      <c r="G64" s="143" t="str">
        <f>IFERROR(INDEX($A$2:$A$226,MATCH(ROWS($F$2:F64),$F$2:$F$226,0)),"")</f>
        <v>FLOYD</v>
      </c>
      <c r="H64" s="144">
        <f>IF(ISERROR(SEARCH('CASH REPORT'!$C$1,$G64)),0,1)</f>
        <v>1</v>
      </c>
      <c r="I64" s="144">
        <f>IF($H64=0,"",COUNTIF($H$2:H64,1))</f>
        <v>63</v>
      </c>
      <c r="J64" s="144" t="str">
        <f t="shared" si="1"/>
        <v>FLOYD</v>
      </c>
    </row>
    <row r="65" spans="1:10" x14ac:dyDescent="0.25">
      <c r="A65" s="142"/>
      <c r="B65" s="142"/>
      <c r="C65" s="142"/>
      <c r="D65" s="142"/>
      <c r="E65" s="142"/>
      <c r="F65" s="143">
        <f t="shared" si="0"/>
        <v>0</v>
      </c>
      <c r="G65" s="143" t="str">
        <f>IFERROR(INDEX($A$2:$A$226,MATCH(ROWS($F$2:F65),$F$2:$F$226,0)),"")</f>
        <v>FT. SUMNER</v>
      </c>
      <c r="H65" s="144">
        <f>IF(ISERROR(SEARCH('CASH REPORT'!$C$1,$G65)),0,1)</f>
        <v>1</v>
      </c>
      <c r="I65" s="144">
        <f>IF($H65=0,"",COUNTIF($H$2:H65,1))</f>
        <v>64</v>
      </c>
      <c r="J65" s="144" t="str">
        <f t="shared" si="1"/>
        <v>FT. SUMNER</v>
      </c>
    </row>
    <row r="66" spans="1:10" x14ac:dyDescent="0.25">
      <c r="A66" s="142" t="s">
        <v>437</v>
      </c>
      <c r="B66" s="142" t="s">
        <v>438</v>
      </c>
      <c r="C66" s="142" t="s">
        <v>49</v>
      </c>
      <c r="D66" s="142" t="s">
        <v>439</v>
      </c>
      <c r="E66" s="142" t="s">
        <v>440</v>
      </c>
      <c r="F66" s="143">
        <f t="shared" si="0"/>
        <v>47</v>
      </c>
      <c r="G66" s="143" t="str">
        <f>IFERROR(INDEX($A$2:$A$226,MATCH(ROWS($F$2:F66),$F$2:$F$226,0)),"")</f>
        <v>GADSDEN</v>
      </c>
      <c r="H66" s="144">
        <f>IF(ISERROR(SEARCH('CASH REPORT'!$C$1,$G66)),0,1)</f>
        <v>1</v>
      </c>
      <c r="I66" s="144">
        <f>IF($H66=0,"",COUNTIF($H$2:H66,1))</f>
        <v>65</v>
      </c>
      <c r="J66" s="144" t="str">
        <f t="shared" si="1"/>
        <v>GADSDEN</v>
      </c>
    </row>
    <row r="67" spans="1:10" x14ac:dyDescent="0.25">
      <c r="A67" s="142" t="s">
        <v>441</v>
      </c>
      <c r="B67" s="142" t="s">
        <v>442</v>
      </c>
      <c r="C67" s="142" t="s">
        <v>49</v>
      </c>
      <c r="D67" s="142" t="s">
        <v>443</v>
      </c>
      <c r="E67" s="142" t="s">
        <v>444</v>
      </c>
      <c r="F67" s="143">
        <f t="shared" ref="F67:F130" si="2">COUNTIF($A$2:$A$226,"&lt;="&amp;A67)</f>
        <v>48</v>
      </c>
      <c r="G67" s="143" t="str">
        <f>IFERROR(INDEX($A$2:$A$226,MATCH(ROWS($F$2:F67),$F$2:$F$226,0)),"")</f>
        <v>GALLUP</v>
      </c>
      <c r="H67" s="144">
        <f>IF(ISERROR(SEARCH('CASH REPORT'!$C$1,$G67)),0,1)</f>
        <v>1</v>
      </c>
      <c r="I67" s="144">
        <f>IF($H67=0,"",COUNTIF($H$2:H67,1))</f>
        <v>66</v>
      </c>
      <c r="J67" s="144" t="str">
        <f t="shared" ref="J67:J130" si="3">IFERROR(INDEX(G66:G291,MATCH(ROW(I66),I66:I291,0)),"")</f>
        <v>GALLUP</v>
      </c>
    </row>
    <row r="68" spans="1:10" x14ac:dyDescent="0.25">
      <c r="A68" s="142" t="s">
        <v>445</v>
      </c>
      <c r="B68" s="142" t="s">
        <v>446</v>
      </c>
      <c r="C68" s="142" t="s">
        <v>49</v>
      </c>
      <c r="D68" s="142" t="s">
        <v>447</v>
      </c>
      <c r="E68" s="142" t="s">
        <v>448</v>
      </c>
      <c r="F68" s="143">
        <f t="shared" si="2"/>
        <v>50</v>
      </c>
      <c r="G68" s="143" t="str">
        <f>IFERROR(INDEX($A$2:$A$226,MATCH(ROWS($F$2:F68),$F$2:$F$226,0)),"")</f>
        <v>GILBERT L. SENA CHARTER</v>
      </c>
      <c r="H68" s="144">
        <f>IF(ISERROR(SEARCH('CASH REPORT'!$C$1,$G68)),0,1)</f>
        <v>1</v>
      </c>
      <c r="I68" s="144">
        <f>IF($H68=0,"",COUNTIF($H$2:H68,1))</f>
        <v>67</v>
      </c>
      <c r="J68" s="144" t="str">
        <f t="shared" si="3"/>
        <v>GILBERT L. SENA CHARTER</v>
      </c>
    </row>
    <row r="69" spans="1:10" x14ac:dyDescent="0.25">
      <c r="A69" s="142" t="s">
        <v>449</v>
      </c>
      <c r="B69" s="142" t="s">
        <v>450</v>
      </c>
      <c r="C69" s="142" t="s">
        <v>49</v>
      </c>
      <c r="D69" s="142" t="s">
        <v>401</v>
      </c>
      <c r="E69" s="142" t="s">
        <v>451</v>
      </c>
      <c r="F69" s="143">
        <f t="shared" si="2"/>
        <v>52</v>
      </c>
      <c r="G69" s="143" t="str">
        <f>IFERROR(INDEX($A$2:$A$226,MATCH(ROWS($F$2:F69),$F$2:$F$226,0)),"")</f>
        <v>GORDON BERNELL</v>
      </c>
      <c r="H69" s="144">
        <f>IF(ISERROR(SEARCH('CASH REPORT'!$C$1,$G69)),0,1)</f>
        <v>1</v>
      </c>
      <c r="I69" s="144">
        <f>IF($H69=0,"",COUNTIF($H$2:H69,1))</f>
        <v>68</v>
      </c>
      <c r="J69" s="144" t="str">
        <f t="shared" si="3"/>
        <v>GORDON BERNELL</v>
      </c>
    </row>
    <row r="70" spans="1:10" x14ac:dyDescent="0.25">
      <c r="A70" s="142" t="s">
        <v>452</v>
      </c>
      <c r="B70" s="142" t="s">
        <v>453</v>
      </c>
      <c r="C70" s="142" t="s">
        <v>49</v>
      </c>
      <c r="D70" s="142" t="s">
        <v>454</v>
      </c>
      <c r="E70" s="142" t="s">
        <v>455</v>
      </c>
      <c r="F70" s="143">
        <f t="shared" si="2"/>
        <v>55</v>
      </c>
      <c r="G70" s="143" t="str">
        <f>IFERROR(INDEX($A$2:$A$226,MATCH(ROWS($F$2:F70),$F$2:$F$226,0)),"")</f>
        <v>GRADY</v>
      </c>
      <c r="H70" s="144">
        <f>IF(ISERROR(SEARCH('CASH REPORT'!$C$1,$G70)),0,1)</f>
        <v>1</v>
      </c>
      <c r="I70" s="144">
        <f>IF($H70=0,"",COUNTIF($H$2:H70,1))</f>
        <v>69</v>
      </c>
      <c r="J70" s="144" t="str">
        <f t="shared" si="3"/>
        <v>GRADY</v>
      </c>
    </row>
    <row r="71" spans="1:10" x14ac:dyDescent="0.25">
      <c r="A71" s="142" t="s">
        <v>456</v>
      </c>
      <c r="B71" s="142" t="s">
        <v>457</v>
      </c>
      <c r="C71" s="142" t="s">
        <v>49</v>
      </c>
      <c r="D71" s="142" t="s">
        <v>458</v>
      </c>
      <c r="E71" s="142" t="s">
        <v>459</v>
      </c>
      <c r="F71" s="143">
        <f t="shared" si="2"/>
        <v>56</v>
      </c>
      <c r="G71" s="143" t="str">
        <f>IFERROR(INDEX($A$2:$A$226,MATCH(ROWS($F$2:F71),$F$2:$F$226,0)),"")</f>
        <v>GRANTS</v>
      </c>
      <c r="H71" s="144">
        <f>IF(ISERROR(SEARCH('CASH REPORT'!$C$1,$G71)),0,1)</f>
        <v>1</v>
      </c>
      <c r="I71" s="144">
        <f>IF($H71=0,"",COUNTIF($H$2:H71,1))</f>
        <v>70</v>
      </c>
      <c r="J71" s="144" t="str">
        <f t="shared" si="3"/>
        <v>GRANTS</v>
      </c>
    </row>
    <row r="72" spans="1:10" x14ac:dyDescent="0.25">
      <c r="A72" s="142" t="s">
        <v>460</v>
      </c>
      <c r="B72" s="142" t="s">
        <v>461</v>
      </c>
      <c r="C72" s="142" t="s">
        <v>49</v>
      </c>
      <c r="D72" s="142" t="s">
        <v>347</v>
      </c>
      <c r="E72" s="142" t="s">
        <v>462</v>
      </c>
      <c r="F72" s="143">
        <f t="shared" si="2"/>
        <v>57</v>
      </c>
      <c r="G72" s="143" t="str">
        <f>IFERROR(INDEX($A$2:$A$226,MATCH(ROWS($F$2:F72),$F$2:$F$226,0)),"")</f>
        <v>HAGERMAN</v>
      </c>
      <c r="H72" s="144">
        <f>IF(ISERROR(SEARCH('CASH REPORT'!$C$1,$G72)),0,1)</f>
        <v>1</v>
      </c>
      <c r="I72" s="144">
        <f>IF($H72=0,"",COUNTIF($H$2:H72,1))</f>
        <v>71</v>
      </c>
      <c r="J72" s="144" t="str">
        <f t="shared" si="3"/>
        <v>HAGERMAN</v>
      </c>
    </row>
    <row r="73" spans="1:10" x14ac:dyDescent="0.25">
      <c r="A73" s="142" t="s">
        <v>463</v>
      </c>
      <c r="B73" s="142" t="s">
        <v>464</v>
      </c>
      <c r="C73" s="142" t="s">
        <v>49</v>
      </c>
      <c r="D73" s="142" t="s">
        <v>465</v>
      </c>
      <c r="E73" s="142" t="s">
        <v>466</v>
      </c>
      <c r="F73" s="143">
        <f t="shared" si="2"/>
        <v>59</v>
      </c>
      <c r="G73" s="143" t="str">
        <f>IFERROR(INDEX($A$2:$A$226,MATCH(ROWS($F$2:F73),$F$2:$F$226,0)),"")</f>
        <v>HATCH</v>
      </c>
      <c r="H73" s="144">
        <f>IF(ISERROR(SEARCH('CASH REPORT'!$C$1,$G73)),0,1)</f>
        <v>1</v>
      </c>
      <c r="I73" s="144">
        <f>IF($H73=0,"",COUNTIF($H$2:H73,1))</f>
        <v>72</v>
      </c>
      <c r="J73" s="144" t="str">
        <f t="shared" si="3"/>
        <v>HATCH</v>
      </c>
    </row>
    <row r="74" spans="1:10" x14ac:dyDescent="0.25">
      <c r="A74" s="142" t="s">
        <v>467</v>
      </c>
      <c r="B74" s="142" t="s">
        <v>468</v>
      </c>
      <c r="C74" s="142" t="s">
        <v>49</v>
      </c>
      <c r="D74" s="142" t="s">
        <v>337</v>
      </c>
      <c r="E74" s="142" t="s">
        <v>469</v>
      </c>
      <c r="F74" s="143">
        <f t="shared" si="2"/>
        <v>62</v>
      </c>
      <c r="G74" s="143" t="str">
        <f>IFERROR(INDEX($A$2:$A$226,MATCH(ROWS($F$2:F74),$F$2:$F$226,0)),"")</f>
        <v>HEALTH LEADERSHIP CHARTER</v>
      </c>
      <c r="H74" s="144">
        <f>IF(ISERROR(SEARCH('CASH REPORT'!$C$1,$G74)),0,1)</f>
        <v>1</v>
      </c>
      <c r="I74" s="144">
        <f>IF($H74=0,"",COUNTIF($H$2:H74,1))</f>
        <v>73</v>
      </c>
      <c r="J74" s="144" t="str">
        <f t="shared" si="3"/>
        <v>HEALTH LEADERSHIP CHARTER</v>
      </c>
    </row>
    <row r="75" spans="1:10" x14ac:dyDescent="0.25">
      <c r="A75" s="142" t="s">
        <v>470</v>
      </c>
      <c r="B75" s="142" t="s">
        <v>471</v>
      </c>
      <c r="C75" s="142" t="s">
        <v>49</v>
      </c>
      <c r="D75" s="142" t="s">
        <v>447</v>
      </c>
      <c r="E75" s="142" t="s">
        <v>472</v>
      </c>
      <c r="F75" s="143">
        <f t="shared" si="2"/>
        <v>63</v>
      </c>
      <c r="G75" s="143" t="str">
        <f>IFERROR(INDEX($A$2:$A$226,MATCH(ROWS($F$2:F75),$F$2:$F$226,0)),"")</f>
        <v>HOBBS</v>
      </c>
      <c r="H75" s="144">
        <f>IF(ISERROR(SEARCH('CASH REPORT'!$C$1,$G75)),0,1)</f>
        <v>1</v>
      </c>
      <c r="I75" s="144">
        <f>IF($H75=0,"",COUNTIF($H$2:H75,1))</f>
        <v>74</v>
      </c>
      <c r="J75" s="144" t="str">
        <f t="shared" si="3"/>
        <v>HOBBS</v>
      </c>
    </row>
    <row r="76" spans="1:10" x14ac:dyDescent="0.25">
      <c r="A76" s="142" t="s">
        <v>473</v>
      </c>
      <c r="B76" s="142" t="s">
        <v>474</v>
      </c>
      <c r="C76" s="142" t="s">
        <v>49</v>
      </c>
      <c r="D76" s="142" t="s">
        <v>475</v>
      </c>
      <c r="E76" s="142" t="s">
        <v>476</v>
      </c>
      <c r="F76" s="143">
        <f t="shared" si="2"/>
        <v>64</v>
      </c>
      <c r="G76" s="143" t="str">
        <f>IFERROR(INDEX($A$2:$A$226,MATCH(ROWS($F$2:F76),$F$2:$F$226,0)),"")</f>
        <v>HONDO</v>
      </c>
      <c r="H76" s="144">
        <f>IF(ISERROR(SEARCH('CASH REPORT'!$C$1,$G76)),0,1)</f>
        <v>1</v>
      </c>
      <c r="I76" s="144">
        <f>IF($H76=0,"",COUNTIF($H$2:H76,1))</f>
        <v>75</v>
      </c>
      <c r="J76" s="144" t="str">
        <f t="shared" si="3"/>
        <v>HONDO</v>
      </c>
    </row>
    <row r="77" spans="1:10" x14ac:dyDescent="0.25">
      <c r="A77" s="142" t="s">
        <v>477</v>
      </c>
      <c r="B77" s="142" t="s">
        <v>478</v>
      </c>
      <c r="C77" s="142" t="s">
        <v>49</v>
      </c>
      <c r="D77" s="142" t="s">
        <v>479</v>
      </c>
      <c r="E77" s="142" t="s">
        <v>480</v>
      </c>
      <c r="F77" s="143">
        <f t="shared" si="2"/>
        <v>65</v>
      </c>
      <c r="G77" s="143" t="str">
        <f>IFERROR(INDEX($A$2:$A$226,MATCH(ROWS($F$2:F77),$F$2:$F$226,0)),"")</f>
        <v>HORIZON ACADEMY WEST ST. CHARTER</v>
      </c>
      <c r="H77" s="144">
        <f>IF(ISERROR(SEARCH('CASH REPORT'!$C$1,$G77)),0,1)</f>
        <v>1</v>
      </c>
      <c r="I77" s="144">
        <f>IF($H77=0,"",COUNTIF($H$2:H77,1))</f>
        <v>76</v>
      </c>
      <c r="J77" s="144" t="str">
        <f t="shared" si="3"/>
        <v>HORIZON ACADEMY WEST ST. CHARTER</v>
      </c>
    </row>
    <row r="78" spans="1:10" x14ac:dyDescent="0.25">
      <c r="A78" s="142" t="s">
        <v>481</v>
      </c>
      <c r="B78" s="142" t="s">
        <v>482</v>
      </c>
      <c r="C78" s="142" t="s">
        <v>49</v>
      </c>
      <c r="D78" s="142" t="s">
        <v>483</v>
      </c>
      <c r="E78" s="142" t="s">
        <v>484</v>
      </c>
      <c r="F78" s="143">
        <f t="shared" si="2"/>
        <v>66</v>
      </c>
      <c r="G78" s="143" t="str">
        <f>IFERROR(INDEX($A$2:$A$226,MATCH(ROWS($F$2:F78),$F$2:$F$226,0)),"")</f>
        <v>HOUSE</v>
      </c>
      <c r="H78" s="144">
        <f>IF(ISERROR(SEARCH('CASH REPORT'!$C$1,$G78)),0,1)</f>
        <v>1</v>
      </c>
      <c r="I78" s="144">
        <f>IF($H78=0,"",COUNTIF($H$2:H78,1))</f>
        <v>77</v>
      </c>
      <c r="J78" s="144" t="str">
        <f t="shared" si="3"/>
        <v>HOUSE</v>
      </c>
    </row>
    <row r="79" spans="1:10" x14ac:dyDescent="0.25">
      <c r="A79" s="142" t="s">
        <v>485</v>
      </c>
      <c r="B79" s="142" t="s">
        <v>486</v>
      </c>
      <c r="C79" s="142" t="s">
        <v>49</v>
      </c>
      <c r="D79" s="142" t="s">
        <v>487</v>
      </c>
      <c r="E79" s="142" t="s">
        <v>488</v>
      </c>
      <c r="F79" s="143">
        <f t="shared" si="2"/>
        <v>69</v>
      </c>
      <c r="G79" s="143" t="str">
        <f>IFERROR(INDEX($A$2:$A$226,MATCH(ROWS($F$2:F79),$F$2:$F$226,0)),"")</f>
        <v>HOZHO ACADEMY</v>
      </c>
      <c r="H79" s="144">
        <f>IF(ISERROR(SEARCH('CASH REPORT'!$C$1,$G79)),0,1)</f>
        <v>1</v>
      </c>
      <c r="I79" s="144">
        <f>IF($H79=0,"",COUNTIF($H$2:H79,1))</f>
        <v>78</v>
      </c>
      <c r="J79" s="144" t="str">
        <f t="shared" si="3"/>
        <v>HOZHO ACADEMY</v>
      </c>
    </row>
    <row r="80" spans="1:10" x14ac:dyDescent="0.25">
      <c r="A80" s="142" t="s">
        <v>489</v>
      </c>
      <c r="B80" s="142" t="s">
        <v>490</v>
      </c>
      <c r="C80" s="142" t="s">
        <v>49</v>
      </c>
      <c r="D80" s="142" t="s">
        <v>491</v>
      </c>
      <c r="E80" s="142" t="s">
        <v>492</v>
      </c>
      <c r="F80" s="143">
        <f t="shared" si="2"/>
        <v>70</v>
      </c>
      <c r="G80" s="143" t="str">
        <f>IFERROR(INDEX($A$2:$A$226,MATCH(ROWS($F$2:F80),$F$2:$F$226,0)),"")</f>
        <v>INT'L SCHOOL MESA DEL SOL ST. CHARTER</v>
      </c>
      <c r="H80" s="144">
        <f>IF(ISERROR(SEARCH('CASH REPORT'!$C$1,$G80)),0,1)</f>
        <v>1</v>
      </c>
      <c r="I80" s="144">
        <f>IF($H80=0,"",COUNTIF($H$2:H80,1))</f>
        <v>79</v>
      </c>
      <c r="J80" s="144" t="str">
        <f t="shared" si="3"/>
        <v>INT'L SCHOOL MESA DEL SOL ST. CHARTER</v>
      </c>
    </row>
    <row r="81" spans="1:10" x14ac:dyDescent="0.25">
      <c r="A81" s="142" t="s">
        <v>493</v>
      </c>
      <c r="B81" s="142" t="s">
        <v>494</v>
      </c>
      <c r="C81" s="142" t="s">
        <v>49</v>
      </c>
      <c r="D81" s="142" t="s">
        <v>443</v>
      </c>
      <c r="E81" s="142" t="s">
        <v>495</v>
      </c>
      <c r="F81" s="143">
        <f t="shared" si="2"/>
        <v>71</v>
      </c>
      <c r="G81" s="143" t="str">
        <f>IFERROR(INDEX($A$2:$A$226,MATCH(ROWS($F$2:F81),$F$2:$F$226,0)),"")</f>
        <v>J. PAUL TAYLOR ACADEMY</v>
      </c>
      <c r="H81" s="144">
        <f>IF(ISERROR(SEARCH('CASH REPORT'!$C$1,$G81)),0,1)</f>
        <v>1</v>
      </c>
      <c r="I81" s="144">
        <f>IF($H81=0,"",COUNTIF($H$2:H81,1))</f>
        <v>80</v>
      </c>
      <c r="J81" s="144" t="str">
        <f t="shared" si="3"/>
        <v>J. PAUL TAYLOR ACADEMY</v>
      </c>
    </row>
    <row r="82" spans="1:10" x14ac:dyDescent="0.25">
      <c r="A82" s="142" t="s">
        <v>496</v>
      </c>
      <c r="B82" s="142" t="s">
        <v>497</v>
      </c>
      <c r="C82" s="142" t="s">
        <v>49</v>
      </c>
      <c r="D82" s="142" t="s">
        <v>287</v>
      </c>
      <c r="E82" s="142" t="s">
        <v>498</v>
      </c>
      <c r="F82" s="143">
        <f t="shared" si="2"/>
        <v>72</v>
      </c>
      <c r="G82" s="143" t="str">
        <f>IFERROR(INDEX($A$2:$A$226,MATCH(ROWS($F$2:F82),$F$2:$F$226,0)),"")</f>
        <v>JAL</v>
      </c>
      <c r="H82" s="144">
        <f>IF(ISERROR(SEARCH('CASH REPORT'!$C$1,$G82)),0,1)</f>
        <v>1</v>
      </c>
      <c r="I82" s="144">
        <f>IF($H82=0,"",COUNTIF($H$2:H82,1))</f>
        <v>81</v>
      </c>
      <c r="J82" s="144" t="str">
        <f t="shared" si="3"/>
        <v>JAL</v>
      </c>
    </row>
    <row r="83" spans="1:10" x14ac:dyDescent="0.25">
      <c r="A83" s="142" t="s">
        <v>499</v>
      </c>
      <c r="B83" s="142" t="s">
        <v>500</v>
      </c>
      <c r="C83" s="142" t="s">
        <v>49</v>
      </c>
      <c r="D83" s="142" t="s">
        <v>465</v>
      </c>
      <c r="E83" s="142" t="s">
        <v>501</v>
      </c>
      <c r="F83" s="143">
        <f t="shared" si="2"/>
        <v>74</v>
      </c>
      <c r="G83" s="143" t="str">
        <f>IFERROR(INDEX($A$2:$A$226,MATCH(ROWS($F$2:F83),$F$2:$F$226,0)),"")</f>
        <v>JEFFERSON MONT. ACAD.</v>
      </c>
      <c r="H83" s="144">
        <f>IF(ISERROR(SEARCH('CASH REPORT'!$C$1,$G83)),0,1)</f>
        <v>1</v>
      </c>
      <c r="I83" s="144">
        <f>IF($H83=0,"",COUNTIF($H$2:H83,1))</f>
        <v>82</v>
      </c>
      <c r="J83" s="144" t="str">
        <f t="shared" si="3"/>
        <v>JEFFERSON MONT. ACAD.</v>
      </c>
    </row>
    <row r="84" spans="1:10" x14ac:dyDescent="0.25">
      <c r="A84" s="142" t="s">
        <v>502</v>
      </c>
      <c r="B84" s="142" t="s">
        <v>503</v>
      </c>
      <c r="C84" s="142" t="s">
        <v>49</v>
      </c>
      <c r="D84" s="142" t="s">
        <v>377</v>
      </c>
      <c r="E84" s="142" t="s">
        <v>504</v>
      </c>
      <c r="F84" s="143">
        <f t="shared" si="2"/>
        <v>75</v>
      </c>
      <c r="G84" s="143" t="str">
        <f>IFERROR(INDEX($A$2:$A$226,MATCH(ROWS($F$2:F84),$F$2:$F$226,0)),"")</f>
        <v>JEMEZ MOUNTAIN</v>
      </c>
      <c r="H84" s="144">
        <f>IF(ISERROR(SEARCH('CASH REPORT'!$C$1,$G84)),0,1)</f>
        <v>1</v>
      </c>
      <c r="I84" s="144">
        <f>IF($H84=0,"",COUNTIF($H$2:H84,1))</f>
        <v>83</v>
      </c>
      <c r="J84" s="144" t="str">
        <f t="shared" si="3"/>
        <v>JEMEZ MOUNTAIN</v>
      </c>
    </row>
    <row r="85" spans="1:10" x14ac:dyDescent="0.25">
      <c r="A85" s="142" t="s">
        <v>505</v>
      </c>
      <c r="B85" s="142" t="s">
        <v>506</v>
      </c>
      <c r="C85" s="142" t="s">
        <v>49</v>
      </c>
      <c r="D85" s="142" t="s">
        <v>507</v>
      </c>
      <c r="E85" s="142" t="s">
        <v>508</v>
      </c>
      <c r="F85" s="143">
        <f t="shared" si="2"/>
        <v>77</v>
      </c>
      <c r="G85" s="143" t="str">
        <f>IFERROR(INDEX($A$2:$A$226,MATCH(ROWS($F$2:F85),$F$2:$F$226,0)),"")</f>
        <v>JEMEZ VALLEY</v>
      </c>
      <c r="H85" s="144">
        <f>IF(ISERROR(SEARCH('CASH REPORT'!$C$1,$G85)),0,1)</f>
        <v>1</v>
      </c>
      <c r="I85" s="144">
        <f>IF($H85=0,"",COUNTIF($H$2:H85,1))</f>
        <v>84</v>
      </c>
      <c r="J85" s="144" t="str">
        <f t="shared" si="3"/>
        <v>JEMEZ VALLEY</v>
      </c>
    </row>
    <row r="86" spans="1:10" x14ac:dyDescent="0.25">
      <c r="A86" s="142" t="s">
        <v>509</v>
      </c>
      <c r="B86" s="142" t="s">
        <v>510</v>
      </c>
      <c r="C86" s="142" t="s">
        <v>49</v>
      </c>
      <c r="D86" s="142" t="s">
        <v>465</v>
      </c>
      <c r="E86" s="142" t="s">
        <v>511</v>
      </c>
      <c r="F86" s="143">
        <f t="shared" si="2"/>
        <v>81</v>
      </c>
      <c r="G86" s="143" t="str">
        <f>IFERROR(INDEX($A$2:$A$226,MATCH(ROWS($F$2:F86),$F$2:$F$226,0)),"")</f>
        <v>LA ACADEMIA DE ESPERANZA</v>
      </c>
      <c r="H86" s="144">
        <f>IF(ISERROR(SEARCH('CASH REPORT'!$C$1,$G86)),0,1)</f>
        <v>1</v>
      </c>
      <c r="I86" s="144">
        <f>IF($H86=0,"",COUNTIF($H$2:H86,1))</f>
        <v>85</v>
      </c>
      <c r="J86" s="144" t="str">
        <f t="shared" si="3"/>
        <v>LA ACADEMIA DE ESPERANZA</v>
      </c>
    </row>
    <row r="87" spans="1:10" x14ac:dyDescent="0.25">
      <c r="A87" s="142" t="s">
        <v>512</v>
      </c>
      <c r="B87" s="142" t="s">
        <v>513</v>
      </c>
      <c r="C87" s="142" t="s">
        <v>49</v>
      </c>
      <c r="D87" s="142" t="s">
        <v>401</v>
      </c>
      <c r="E87" s="142" t="s">
        <v>514</v>
      </c>
      <c r="F87" s="143">
        <f t="shared" si="2"/>
        <v>83</v>
      </c>
      <c r="G87" s="143" t="str">
        <f>IFERROR(INDEX($A$2:$A$226,MATCH(ROWS($F$2:F87),$F$2:$F$226,0)),"")</f>
        <v>LA ACADEMIA DOLORES HUERTA</v>
      </c>
      <c r="H87" s="144">
        <f>IF(ISERROR(SEARCH('CASH REPORT'!$C$1,$G87)),0,1)</f>
        <v>1</v>
      </c>
      <c r="I87" s="144">
        <f>IF($H87=0,"",COUNTIF($H$2:H87,1))</f>
        <v>86</v>
      </c>
      <c r="J87" s="144" t="str">
        <f t="shared" si="3"/>
        <v>LA ACADEMIA DOLORES HUERTA</v>
      </c>
    </row>
    <row r="88" spans="1:10" x14ac:dyDescent="0.25">
      <c r="A88" s="142" t="s">
        <v>515</v>
      </c>
      <c r="B88" s="142" t="s">
        <v>516</v>
      </c>
      <c r="C88" s="142" t="s">
        <v>49</v>
      </c>
      <c r="D88" s="142" t="s">
        <v>301</v>
      </c>
      <c r="E88" s="142" t="s">
        <v>517</v>
      </c>
      <c r="F88" s="143">
        <f t="shared" si="2"/>
        <v>84</v>
      </c>
      <c r="G88" s="143" t="str">
        <f>IFERROR(INDEX($A$2:$A$226,MATCH(ROWS($F$2:F88),$F$2:$F$226,0)),"")</f>
        <v>LA TIERRA MONTESSORI</v>
      </c>
      <c r="H88" s="144">
        <f>IF(ISERROR(SEARCH('CASH REPORT'!$C$1,$G88)),0,1)</f>
        <v>1</v>
      </c>
      <c r="I88" s="144">
        <f>IF($H88=0,"",COUNTIF($H$2:H88,1))</f>
        <v>87</v>
      </c>
      <c r="J88" s="144" t="str">
        <f t="shared" si="3"/>
        <v>LA TIERRA MONTESSORI</v>
      </c>
    </row>
    <row r="89" spans="1:10" x14ac:dyDescent="0.25">
      <c r="A89" s="142" t="s">
        <v>518</v>
      </c>
      <c r="B89" s="142" t="s">
        <v>519</v>
      </c>
      <c r="C89" s="142" t="s">
        <v>249</v>
      </c>
      <c r="D89" s="142" t="s">
        <v>245</v>
      </c>
      <c r="E89" s="142" t="s">
        <v>520</v>
      </c>
      <c r="F89" s="143">
        <f t="shared" si="2"/>
        <v>79</v>
      </c>
      <c r="G89" s="143" t="str">
        <f>IFERROR(INDEX($A$2:$A$226,MATCH(ROWS($F$2:F89),$F$2:$F$226,0)),"")</f>
        <v>LAKE ARTHUR</v>
      </c>
      <c r="H89" s="144">
        <f>IF(ISERROR(SEARCH('CASH REPORT'!$C$1,$G89)),0,1)</f>
        <v>1</v>
      </c>
      <c r="I89" s="144">
        <f>IF($H89=0,"",COUNTIF($H$2:H89,1))</f>
        <v>88</v>
      </c>
      <c r="J89" s="144" t="str">
        <f t="shared" si="3"/>
        <v>LAKE ARTHUR</v>
      </c>
    </row>
    <row r="90" spans="1:10" x14ac:dyDescent="0.25">
      <c r="A90" s="142"/>
      <c r="B90" s="142"/>
      <c r="C90" s="142"/>
      <c r="D90" s="142"/>
      <c r="E90" s="142"/>
      <c r="F90" s="143">
        <f t="shared" si="2"/>
        <v>0</v>
      </c>
      <c r="G90" s="143" t="str">
        <f>IFERROR(INDEX($A$2:$A$226,MATCH(ROWS($F$2:F90),$F$2:$F$226,0)),"")</f>
        <v>LAS CRUCES</v>
      </c>
      <c r="H90" s="144">
        <f>IF(ISERROR(SEARCH('CASH REPORT'!$C$1,$G90)),0,1)</f>
        <v>1</v>
      </c>
      <c r="I90" s="144">
        <f>IF($H90=0,"",COUNTIF($H$2:H90,1))</f>
        <v>89</v>
      </c>
      <c r="J90" s="144" t="str">
        <f t="shared" si="3"/>
        <v>LAS CRUCES</v>
      </c>
    </row>
    <row r="91" spans="1:10" x14ac:dyDescent="0.25">
      <c r="A91" s="142" t="s">
        <v>521</v>
      </c>
      <c r="B91" s="142" t="s">
        <v>522</v>
      </c>
      <c r="C91" s="142" t="s">
        <v>49</v>
      </c>
      <c r="D91" s="142" t="s">
        <v>443</v>
      </c>
      <c r="E91" s="142" t="s">
        <v>523</v>
      </c>
      <c r="F91" s="143">
        <f t="shared" si="2"/>
        <v>88</v>
      </c>
      <c r="G91" s="143" t="str">
        <f>IFERROR(INDEX($A$2:$A$226,MATCH(ROWS($F$2:F91),$F$2:$F$226,0)),"")</f>
        <v>LAS MONTANAS</v>
      </c>
      <c r="H91" s="144">
        <f>IF(ISERROR(SEARCH('CASH REPORT'!$C$1,$G91)),0,1)</f>
        <v>1</v>
      </c>
      <c r="I91" s="144">
        <f>IF($H91=0,"",COUNTIF($H$2:H91,1))</f>
        <v>90</v>
      </c>
      <c r="J91" s="144" t="str">
        <f t="shared" si="3"/>
        <v>LAS MONTANAS</v>
      </c>
    </row>
    <row r="92" spans="1:10" x14ac:dyDescent="0.25">
      <c r="A92" s="142" t="s">
        <v>524</v>
      </c>
      <c r="B92" s="142" t="s">
        <v>525</v>
      </c>
      <c r="C92" s="142" t="s">
        <v>49</v>
      </c>
      <c r="D92" s="142" t="s">
        <v>526</v>
      </c>
      <c r="E92" s="142" t="s">
        <v>527</v>
      </c>
      <c r="F92" s="143">
        <f t="shared" si="2"/>
        <v>89</v>
      </c>
      <c r="G92" s="143" t="str">
        <f>IFERROR(INDEX($A$2:$A$226,MATCH(ROWS($F$2:F92),$F$2:$F$226,0)),"")</f>
        <v>LAS VEGAS CITY</v>
      </c>
      <c r="H92" s="144">
        <f>IF(ISERROR(SEARCH('CASH REPORT'!$C$1,$G92)),0,1)</f>
        <v>1</v>
      </c>
      <c r="I92" s="144">
        <f>IF($H92=0,"",COUNTIF($H$2:H92,1))</f>
        <v>91</v>
      </c>
      <c r="J92" s="144" t="str">
        <f t="shared" si="3"/>
        <v>LAS VEGAS CITY</v>
      </c>
    </row>
    <row r="93" spans="1:10" x14ac:dyDescent="0.25">
      <c r="A93" s="142" t="s">
        <v>528</v>
      </c>
      <c r="B93" s="142" t="s">
        <v>529</v>
      </c>
      <c r="C93" s="142" t="s">
        <v>49</v>
      </c>
      <c r="D93" s="142" t="s">
        <v>530</v>
      </c>
      <c r="E93" s="142" t="s">
        <v>531</v>
      </c>
      <c r="F93" s="143">
        <f t="shared" si="2"/>
        <v>91</v>
      </c>
      <c r="G93" s="143" t="str">
        <f>IFERROR(INDEX($A$2:$A$226,MATCH(ROWS($F$2:F93),$F$2:$F$226,0)),"")</f>
        <v>LOGAN</v>
      </c>
      <c r="H93" s="144">
        <f>IF(ISERROR(SEARCH('CASH REPORT'!$C$1,$G93)),0,1)</f>
        <v>1</v>
      </c>
      <c r="I93" s="144">
        <f>IF($H93=0,"",COUNTIF($H$2:H93,1))</f>
        <v>92</v>
      </c>
      <c r="J93" s="144" t="str">
        <f t="shared" si="3"/>
        <v>LOGAN</v>
      </c>
    </row>
    <row r="94" spans="1:10" x14ac:dyDescent="0.25">
      <c r="A94" s="142" t="s">
        <v>532</v>
      </c>
      <c r="B94" s="142" t="s">
        <v>533</v>
      </c>
      <c r="C94" s="142" t="s">
        <v>49</v>
      </c>
      <c r="D94" s="142" t="s">
        <v>534</v>
      </c>
      <c r="E94" s="142" t="s">
        <v>535</v>
      </c>
      <c r="F94" s="143">
        <f t="shared" si="2"/>
        <v>92</v>
      </c>
      <c r="G94" s="143" t="str">
        <f>IFERROR(INDEX($A$2:$A$226,MATCH(ROWS($F$2:F94),$F$2:$F$226,0)),"")</f>
        <v>LORDSBURG</v>
      </c>
      <c r="H94" s="144">
        <f>IF(ISERROR(SEARCH('CASH REPORT'!$C$1,$G94)),0,1)</f>
        <v>1</v>
      </c>
      <c r="I94" s="144">
        <f>IF($H94=0,"",COUNTIF($H$2:H94,1))</f>
        <v>93</v>
      </c>
      <c r="J94" s="144" t="str">
        <f t="shared" si="3"/>
        <v>LORDSBURG</v>
      </c>
    </row>
    <row r="95" spans="1:10" x14ac:dyDescent="0.25">
      <c r="A95" s="142" t="s">
        <v>536</v>
      </c>
      <c r="B95" s="142" t="s">
        <v>537</v>
      </c>
      <c r="C95" s="142" t="s">
        <v>49</v>
      </c>
      <c r="D95" s="142" t="s">
        <v>354</v>
      </c>
      <c r="E95" s="142" t="s">
        <v>538</v>
      </c>
      <c r="F95" s="143">
        <f t="shared" si="2"/>
        <v>93</v>
      </c>
      <c r="G95" s="143" t="str">
        <f>IFERROR(INDEX($A$2:$A$226,MATCH(ROWS($F$2:F95),$F$2:$F$226,0)),"")</f>
        <v>LOS ALAMOS</v>
      </c>
      <c r="H95" s="144">
        <f>IF(ISERROR(SEARCH('CASH REPORT'!$C$1,$G95)),0,1)</f>
        <v>1</v>
      </c>
      <c r="I95" s="144">
        <f>IF($H95=0,"",COUNTIF($H$2:H95,1))</f>
        <v>94</v>
      </c>
      <c r="J95" s="144" t="str">
        <f t="shared" si="3"/>
        <v>LOS ALAMOS</v>
      </c>
    </row>
    <row r="96" spans="1:10" x14ac:dyDescent="0.25">
      <c r="A96" s="142" t="s">
        <v>539</v>
      </c>
      <c r="B96" s="142" t="s">
        <v>540</v>
      </c>
      <c r="C96" s="142" t="s">
        <v>49</v>
      </c>
      <c r="D96" s="142" t="s">
        <v>541</v>
      </c>
      <c r="E96" s="142" t="s">
        <v>541</v>
      </c>
      <c r="F96" s="143">
        <f t="shared" si="2"/>
        <v>94</v>
      </c>
      <c r="G96" s="143" t="str">
        <f>IFERROR(INDEX($A$2:$A$226,MATCH(ROWS($F$2:F96),$F$2:$F$226,0)),"")</f>
        <v>LOS LUNAS</v>
      </c>
      <c r="H96" s="144">
        <f>IF(ISERROR(SEARCH('CASH REPORT'!$C$1,$G96)),0,1)</f>
        <v>1</v>
      </c>
      <c r="I96" s="144">
        <f>IF($H96=0,"",COUNTIF($H$2:H96,1))</f>
        <v>95</v>
      </c>
      <c r="J96" s="144" t="str">
        <f t="shared" si="3"/>
        <v>LOS LUNAS</v>
      </c>
    </row>
    <row r="97" spans="1:10" x14ac:dyDescent="0.25">
      <c r="A97" s="142" t="s">
        <v>542</v>
      </c>
      <c r="B97" s="142" t="s">
        <v>543</v>
      </c>
      <c r="C97" s="142" t="s">
        <v>49</v>
      </c>
      <c r="D97" s="142" t="s">
        <v>544</v>
      </c>
      <c r="E97" s="142" t="s">
        <v>545</v>
      </c>
      <c r="F97" s="143">
        <f t="shared" si="2"/>
        <v>95</v>
      </c>
      <c r="G97" s="143" t="str">
        <f>IFERROR(INDEX($A$2:$A$226,MATCH(ROWS($F$2:F97),$F$2:$F$226,0)),"")</f>
        <v>LOS PUENTES</v>
      </c>
      <c r="H97" s="144">
        <f>IF(ISERROR(SEARCH('CASH REPORT'!$C$1,$G97)),0,1)</f>
        <v>1</v>
      </c>
      <c r="I97" s="144">
        <f>IF($H97=0,"",COUNTIF($H$2:H97,1))</f>
        <v>96</v>
      </c>
      <c r="J97" s="144" t="str">
        <f t="shared" si="3"/>
        <v>LOS PUENTES</v>
      </c>
    </row>
    <row r="98" spans="1:10" x14ac:dyDescent="0.25">
      <c r="A98" s="142" t="s">
        <v>546</v>
      </c>
      <c r="B98" s="142" t="s">
        <v>547</v>
      </c>
      <c r="C98" s="142" t="s">
        <v>49</v>
      </c>
      <c r="D98" s="142" t="s">
        <v>381</v>
      </c>
      <c r="E98" s="142" t="s">
        <v>548</v>
      </c>
      <c r="F98" s="143">
        <f t="shared" si="2"/>
        <v>97</v>
      </c>
      <c r="G98" s="143" t="str">
        <f>IFERROR(INDEX($A$2:$A$226,MATCH(ROWS($F$2:F98),$F$2:$F$226,0)),"")</f>
        <v>LOVING</v>
      </c>
      <c r="H98" s="144">
        <f>IF(ISERROR(SEARCH('CASH REPORT'!$C$1,$G98)),0,1)</f>
        <v>1</v>
      </c>
      <c r="I98" s="144">
        <f>IF($H98=0,"",COUNTIF($H$2:H98,1))</f>
        <v>97</v>
      </c>
      <c r="J98" s="144" t="str">
        <f t="shared" si="3"/>
        <v>LOVING</v>
      </c>
    </row>
    <row r="99" spans="1:10" x14ac:dyDescent="0.25">
      <c r="A99" s="142" t="s">
        <v>549</v>
      </c>
      <c r="B99" s="142" t="s">
        <v>550</v>
      </c>
      <c r="C99" s="142" t="s">
        <v>49</v>
      </c>
      <c r="D99" s="142" t="s">
        <v>465</v>
      </c>
      <c r="E99" s="142" t="s">
        <v>551</v>
      </c>
      <c r="F99" s="143">
        <f t="shared" si="2"/>
        <v>98</v>
      </c>
      <c r="G99" s="143" t="str">
        <f>IFERROR(INDEX($A$2:$A$226,MATCH(ROWS($F$2:F99),$F$2:$F$226,0)),"")</f>
        <v>LOVINGTON</v>
      </c>
      <c r="H99" s="144">
        <f>IF(ISERROR(SEARCH('CASH REPORT'!$C$1,$G99)),0,1)</f>
        <v>1</v>
      </c>
      <c r="I99" s="144">
        <f>IF($H99=0,"",COUNTIF($H$2:H99,1))</f>
        <v>98</v>
      </c>
      <c r="J99" s="144" t="str">
        <f t="shared" si="3"/>
        <v>LOVINGTON</v>
      </c>
    </row>
    <row r="100" spans="1:10" x14ac:dyDescent="0.25">
      <c r="A100" s="142" t="s">
        <v>552</v>
      </c>
      <c r="B100" s="142" t="s">
        <v>553</v>
      </c>
      <c r="C100" s="142" t="s">
        <v>49</v>
      </c>
      <c r="D100" s="142" t="s">
        <v>323</v>
      </c>
      <c r="E100" s="142" t="s">
        <v>554</v>
      </c>
      <c r="F100" s="143">
        <f t="shared" si="2"/>
        <v>99</v>
      </c>
      <c r="G100" s="143" t="str">
        <f>IFERROR(INDEX($A$2:$A$226,MATCH(ROWS($F$2:F100),$F$2:$F$226,0)),"")</f>
        <v>MAGDALENA</v>
      </c>
      <c r="H100" s="144">
        <f>IF(ISERROR(SEARCH('CASH REPORT'!$C$1,$G100)),0,1)</f>
        <v>1</v>
      </c>
      <c r="I100" s="144">
        <f>IF($H100=0,"",COUNTIF($H$2:H100,1))</f>
        <v>99</v>
      </c>
      <c r="J100" s="144" t="str">
        <f t="shared" si="3"/>
        <v>MAGDALENA</v>
      </c>
    </row>
    <row r="101" spans="1:10" x14ac:dyDescent="0.25">
      <c r="A101" s="142" t="s">
        <v>555</v>
      </c>
      <c r="B101" s="142" t="s">
        <v>556</v>
      </c>
      <c r="C101" s="142" t="s">
        <v>49</v>
      </c>
      <c r="D101" s="142" t="s">
        <v>405</v>
      </c>
      <c r="E101" s="142" t="s">
        <v>557</v>
      </c>
      <c r="F101" s="143">
        <f t="shared" si="2"/>
        <v>102</v>
      </c>
      <c r="G101" s="143" t="str">
        <f>IFERROR(INDEX($A$2:$A$226,MATCH(ROWS($F$2:F101),$F$2:$F$226,0)),"")</f>
        <v>MARK ARMIJO (NUESTROS VALORES)</v>
      </c>
      <c r="H101" s="144">
        <f>IF(ISERROR(SEARCH('CASH REPORT'!$C$1,$G101)),0,1)</f>
        <v>1</v>
      </c>
      <c r="I101" s="144">
        <f>IF($H101=0,"",COUNTIF($H$2:H101,1))</f>
        <v>100</v>
      </c>
      <c r="J101" s="144" t="str">
        <f t="shared" si="3"/>
        <v>MARK ARMIJO (NUESTROS VALORES)</v>
      </c>
    </row>
    <row r="102" spans="1:10" x14ac:dyDescent="0.25">
      <c r="A102" s="142" t="s">
        <v>558</v>
      </c>
      <c r="B102" s="142" t="s">
        <v>559</v>
      </c>
      <c r="C102" s="142" t="s">
        <v>49</v>
      </c>
      <c r="D102" s="142" t="s">
        <v>560</v>
      </c>
      <c r="E102" s="142" t="s">
        <v>561</v>
      </c>
      <c r="F102" s="143">
        <f t="shared" si="2"/>
        <v>105</v>
      </c>
      <c r="G102" s="143" t="str">
        <f>IFERROR(INDEX($A$2:$A$226,MATCH(ROWS($F$2:F102),$F$2:$F$226,0)),"")</f>
        <v>MASTERS PROGRAM ST. CHARTER</v>
      </c>
      <c r="H102" s="144">
        <f>IF(ISERROR(SEARCH('CASH REPORT'!$C$1,$G102)),0,1)</f>
        <v>1</v>
      </c>
      <c r="I102" s="144">
        <f>IF($H102=0,"",COUNTIF($H$2:H102,1))</f>
        <v>101</v>
      </c>
      <c r="J102" s="144" t="str">
        <f t="shared" si="3"/>
        <v>MASTERS PROGRAM ST. CHARTER</v>
      </c>
    </row>
    <row r="103" spans="1:10" x14ac:dyDescent="0.25">
      <c r="A103" s="142" t="s">
        <v>562</v>
      </c>
      <c r="B103" s="142" t="s">
        <v>563</v>
      </c>
      <c r="C103" s="142" t="s">
        <v>49</v>
      </c>
      <c r="D103" s="142" t="s">
        <v>564</v>
      </c>
      <c r="E103" s="142" t="s">
        <v>565</v>
      </c>
      <c r="F103" s="143">
        <f t="shared" si="2"/>
        <v>106</v>
      </c>
      <c r="G103" s="143" t="str">
        <f>IFERROR(INDEX($A$2:$A$226,MATCH(ROWS($F$2:F103),$F$2:$F$226,0)),"")</f>
        <v>MAXWELL</v>
      </c>
      <c r="H103" s="144">
        <f>IF(ISERROR(SEARCH('CASH REPORT'!$C$1,$G103)),0,1)</f>
        <v>1</v>
      </c>
      <c r="I103" s="144">
        <f>IF($H103=0,"",COUNTIF($H$2:H103,1))</f>
        <v>102</v>
      </c>
      <c r="J103" s="144" t="str">
        <f t="shared" si="3"/>
        <v>MAXWELL</v>
      </c>
    </row>
    <row r="104" spans="1:10" x14ac:dyDescent="0.25">
      <c r="A104" s="142" t="s">
        <v>566</v>
      </c>
      <c r="B104" s="142" t="s">
        <v>567</v>
      </c>
      <c r="C104" s="142" t="s">
        <v>49</v>
      </c>
      <c r="D104" s="142" t="s">
        <v>568</v>
      </c>
      <c r="E104" s="142" t="s">
        <v>568</v>
      </c>
      <c r="F104" s="143">
        <f t="shared" si="2"/>
        <v>112</v>
      </c>
      <c r="G104" s="143" t="str">
        <f>IFERROR(INDEX($A$2:$A$226,MATCH(ROWS($F$2:F104),$F$2:$F$226,0)),"")</f>
        <v>MCCURDY CHARTER SCHOOL</v>
      </c>
      <c r="H104" s="144">
        <f>IF(ISERROR(SEARCH('CASH REPORT'!$C$1,$G104)),0,1)</f>
        <v>1</v>
      </c>
      <c r="I104" s="144">
        <f>IF($H104=0,"",COUNTIF($H$2:H104,1))</f>
        <v>103</v>
      </c>
      <c r="J104" s="144" t="str">
        <f t="shared" si="3"/>
        <v>MCCURDY CHARTER SCHOOL</v>
      </c>
    </row>
    <row r="105" spans="1:10" x14ac:dyDescent="0.25">
      <c r="A105" s="142" t="s">
        <v>569</v>
      </c>
      <c r="B105" s="142" t="s">
        <v>570</v>
      </c>
      <c r="C105" s="142" t="s">
        <v>49</v>
      </c>
      <c r="D105" s="142" t="s">
        <v>571</v>
      </c>
      <c r="E105" s="142" t="s">
        <v>572</v>
      </c>
      <c r="F105" s="143">
        <f t="shared" si="2"/>
        <v>114</v>
      </c>
      <c r="G105" s="143" t="str">
        <f>IFERROR(INDEX($A$2:$A$226,MATCH(ROWS($F$2:F105),$F$2:$F$226,0)),"")</f>
        <v>MEDIA ARTS COLLAB. ST. CHARTER</v>
      </c>
      <c r="H105" s="144">
        <f>IF(ISERROR(SEARCH('CASH REPORT'!$C$1,$G105)),0,1)</f>
        <v>1</v>
      </c>
      <c r="I105" s="144">
        <f>IF($H105=0,"",COUNTIF($H$2:H105,1))</f>
        <v>104</v>
      </c>
      <c r="J105" s="144" t="str">
        <f t="shared" si="3"/>
        <v>MEDIA ARTS COLLAB. ST. CHARTER</v>
      </c>
    </row>
    <row r="106" spans="1:10" x14ac:dyDescent="0.25">
      <c r="A106" s="142" t="s">
        <v>573</v>
      </c>
      <c r="B106" s="142" t="s">
        <v>574</v>
      </c>
      <c r="C106" s="142" t="s">
        <v>49</v>
      </c>
      <c r="D106" s="142" t="s">
        <v>575</v>
      </c>
      <c r="E106" s="142" t="s">
        <v>576</v>
      </c>
      <c r="F106" s="143">
        <f t="shared" si="2"/>
        <v>116</v>
      </c>
      <c r="G106" s="143" t="str">
        <f>IFERROR(INDEX($A$2:$A$226,MATCH(ROWS($F$2:F106),$F$2:$F$226,0)),"")</f>
        <v>MELROSE</v>
      </c>
      <c r="H106" s="144">
        <f>IF(ISERROR(SEARCH('CASH REPORT'!$C$1,$G106)),0,1)</f>
        <v>1</v>
      </c>
      <c r="I106" s="144">
        <f>IF($H106=0,"",COUNTIF($H$2:H106,1))</f>
        <v>105</v>
      </c>
      <c r="J106" s="144" t="str">
        <f t="shared" si="3"/>
        <v>MELROSE</v>
      </c>
    </row>
    <row r="107" spans="1:10" x14ac:dyDescent="0.25">
      <c r="A107" s="142" t="s">
        <v>577</v>
      </c>
      <c r="B107" s="142" t="s">
        <v>578</v>
      </c>
      <c r="C107" s="142" t="s">
        <v>49</v>
      </c>
      <c r="D107" s="142" t="s">
        <v>579</v>
      </c>
      <c r="E107" s="142" t="s">
        <v>580</v>
      </c>
      <c r="F107" s="143">
        <f t="shared" si="2"/>
        <v>118</v>
      </c>
      <c r="G107" s="143" t="str">
        <f>IFERROR(INDEX($A$2:$A$226,MATCH(ROWS($F$2:F107),$F$2:$F$226,0)),"")</f>
        <v>MESA VISTA</v>
      </c>
      <c r="H107" s="144">
        <f>IF(ISERROR(SEARCH('CASH REPORT'!$C$1,$G107)),0,1)</f>
        <v>1</v>
      </c>
      <c r="I107" s="144">
        <f>IF($H107=0,"",COUNTIF($H$2:H107,1))</f>
        <v>106</v>
      </c>
      <c r="J107" s="144" t="str">
        <f t="shared" si="3"/>
        <v>MESA VISTA</v>
      </c>
    </row>
    <row r="108" spans="1:10" x14ac:dyDescent="0.25">
      <c r="A108" s="142" t="s">
        <v>581</v>
      </c>
      <c r="B108" s="142" t="s">
        <v>582</v>
      </c>
      <c r="C108" s="142" t="s">
        <v>49</v>
      </c>
      <c r="D108" s="142" t="s">
        <v>583</v>
      </c>
      <c r="E108" s="142" t="s">
        <v>584</v>
      </c>
      <c r="F108" s="143">
        <f t="shared" si="2"/>
        <v>127</v>
      </c>
      <c r="G108" s="143" t="str">
        <f>IFERROR(INDEX($A$2:$A$226,MATCH(ROWS($F$2:F108),$F$2:$F$226,0)),"")</f>
        <v>MIDDLE COLLEGE HIGH</v>
      </c>
      <c r="H108" s="144">
        <f>IF(ISERROR(SEARCH('CASH REPORT'!$C$1,$G108)),0,1)</f>
        <v>1</v>
      </c>
      <c r="I108" s="144">
        <f>IF($H108=0,"",COUNTIF($H$2:H108,1))</f>
        <v>107</v>
      </c>
      <c r="J108" s="144" t="str">
        <f t="shared" si="3"/>
        <v>MIDDLE COLLEGE HIGH</v>
      </c>
    </row>
    <row r="109" spans="1:10" x14ac:dyDescent="0.25">
      <c r="A109" s="142" t="s">
        <v>585</v>
      </c>
      <c r="B109" s="142" t="s">
        <v>586</v>
      </c>
      <c r="C109" s="142" t="s">
        <v>49</v>
      </c>
      <c r="D109" s="142" t="s">
        <v>564</v>
      </c>
      <c r="E109" s="142" t="s">
        <v>587</v>
      </c>
      <c r="F109" s="143">
        <f t="shared" si="2"/>
        <v>129</v>
      </c>
      <c r="G109" s="143" t="str">
        <f>IFERROR(INDEX($A$2:$A$226,MATCH(ROWS($F$2:F109),$F$2:$F$226,0)),"")</f>
        <v>MISSION ACHIEVEMENT &amp; SUCCESS-MAS</v>
      </c>
      <c r="H109" s="144">
        <f>IF(ISERROR(SEARCH('CASH REPORT'!$C$1,$G109)),0,1)</f>
        <v>1</v>
      </c>
      <c r="I109" s="144">
        <f>IF($H109=0,"",COUNTIF($H$2:H109,1))</f>
        <v>108</v>
      </c>
      <c r="J109" s="144" t="str">
        <f t="shared" si="3"/>
        <v>MISSION ACHIEVEMENT &amp; SUCCESS-MAS</v>
      </c>
    </row>
    <row r="110" spans="1:10" x14ac:dyDescent="0.25">
      <c r="A110" s="142" t="s">
        <v>588</v>
      </c>
      <c r="B110" s="142" t="s">
        <v>589</v>
      </c>
      <c r="C110" s="142" t="s">
        <v>49</v>
      </c>
      <c r="D110" s="142" t="s">
        <v>250</v>
      </c>
      <c r="E110" s="142" t="s">
        <v>590</v>
      </c>
      <c r="F110" s="143">
        <f t="shared" si="2"/>
        <v>130</v>
      </c>
      <c r="G110" s="143" t="str">
        <f>IFERROR(INDEX($A$2:$A$226,MATCH(ROWS($F$2:F110),$F$2:$F$226,0)),"")</f>
        <v>MONTE DEL SOL</v>
      </c>
      <c r="H110" s="144">
        <f>IF(ISERROR(SEARCH('CASH REPORT'!$C$1,$G110)),0,1)</f>
        <v>1</v>
      </c>
      <c r="I110" s="144">
        <f>IF($H110=0,"",COUNTIF($H$2:H110,1))</f>
        <v>109</v>
      </c>
      <c r="J110" s="144" t="str">
        <f t="shared" si="3"/>
        <v>MONTE DEL SOL</v>
      </c>
    </row>
    <row r="111" spans="1:10" x14ac:dyDescent="0.25">
      <c r="A111" s="142" t="s">
        <v>591</v>
      </c>
      <c r="B111" s="142" t="s">
        <v>592</v>
      </c>
      <c r="C111" s="142" t="s">
        <v>49</v>
      </c>
      <c r="D111" s="142" t="s">
        <v>447</v>
      </c>
      <c r="E111" s="142" t="s">
        <v>593</v>
      </c>
      <c r="F111" s="143">
        <f t="shared" si="2"/>
        <v>131</v>
      </c>
      <c r="G111" s="143" t="str">
        <f>IFERROR(INDEX($A$2:$A$226,MATCH(ROWS($F$2:F111),$F$2:$F$226,0)),"")</f>
        <v>MONTESSORI ELEMEMTARY ST. CHARTER</v>
      </c>
      <c r="H111" s="144">
        <f>IF(ISERROR(SEARCH('CASH REPORT'!$C$1,$G111)),0,1)</f>
        <v>1</v>
      </c>
      <c r="I111" s="144">
        <f>IF($H111=0,"",COUNTIF($H$2:H111,1))</f>
        <v>110</v>
      </c>
      <c r="J111" s="144" t="str">
        <f t="shared" si="3"/>
        <v>MONTESSORI ELEMEMTARY ST. CHARTER</v>
      </c>
    </row>
    <row r="112" spans="1:10" x14ac:dyDescent="0.25">
      <c r="A112" s="142" t="s">
        <v>594</v>
      </c>
      <c r="B112" s="142" t="s">
        <v>595</v>
      </c>
      <c r="C112" s="142" t="s">
        <v>49</v>
      </c>
      <c r="D112" s="142" t="s">
        <v>596</v>
      </c>
      <c r="E112" s="142" t="s">
        <v>597</v>
      </c>
      <c r="F112" s="143">
        <f t="shared" si="2"/>
        <v>132</v>
      </c>
      <c r="G112" s="143" t="str">
        <f>IFERROR(INDEX($A$2:$A$226,MATCH(ROWS($F$2:F112),$F$2:$F$226,0)),"")</f>
        <v>MONTESSORI OF THE RIO GRANDE</v>
      </c>
      <c r="H112" s="144">
        <f>IF(ISERROR(SEARCH('CASH REPORT'!$C$1,$G112)),0,1)</f>
        <v>1</v>
      </c>
      <c r="I112" s="144">
        <f>IF($H112=0,"",COUNTIF($H$2:H112,1))</f>
        <v>111</v>
      </c>
      <c r="J112" s="144" t="str">
        <f t="shared" si="3"/>
        <v>MONTESSORI OF THE RIO GRANDE</v>
      </c>
    </row>
    <row r="113" spans="1:10" x14ac:dyDescent="0.25">
      <c r="A113" s="142" t="s">
        <v>598</v>
      </c>
      <c r="B113" s="142" t="s">
        <v>599</v>
      </c>
      <c r="C113" s="142" t="s">
        <v>49</v>
      </c>
      <c r="D113" s="142" t="s">
        <v>297</v>
      </c>
      <c r="E113" s="142" t="s">
        <v>600</v>
      </c>
      <c r="F113" s="143">
        <f t="shared" si="2"/>
        <v>133</v>
      </c>
      <c r="G113" s="143" t="str">
        <f>IFERROR(INDEX($A$2:$A$226,MATCH(ROWS($F$2:F113),$F$2:$F$226,0)),"")</f>
        <v>MORA</v>
      </c>
      <c r="H113" s="144">
        <f>IF(ISERROR(SEARCH('CASH REPORT'!$C$1,$G113)),0,1)</f>
        <v>1</v>
      </c>
      <c r="I113" s="144">
        <f>IF($H113=0,"",COUNTIF($H$2:H113,1))</f>
        <v>112</v>
      </c>
      <c r="J113" s="144" t="str">
        <f t="shared" si="3"/>
        <v>MORA</v>
      </c>
    </row>
    <row r="114" spans="1:10" x14ac:dyDescent="0.25">
      <c r="A114" s="142" t="s">
        <v>601</v>
      </c>
      <c r="B114" s="142" t="s">
        <v>602</v>
      </c>
      <c r="C114" s="142" t="s">
        <v>49</v>
      </c>
      <c r="D114" s="142" t="s">
        <v>405</v>
      </c>
      <c r="E114" s="142" t="s">
        <v>603</v>
      </c>
      <c r="F114" s="143">
        <f t="shared" si="2"/>
        <v>135</v>
      </c>
      <c r="G114" s="143" t="str">
        <f>IFERROR(INDEX($A$2:$A$226,MATCH(ROWS($F$2:F114),$F$2:$F$226,0)),"")</f>
        <v>MORENO VALLEY HIGH</v>
      </c>
      <c r="H114" s="144">
        <f>IF(ISERROR(SEARCH('CASH REPORT'!$C$1,$G114)),0,1)</f>
        <v>1</v>
      </c>
      <c r="I114" s="144">
        <f>IF($H114=0,"",COUNTIF($H$2:H114,1))</f>
        <v>113</v>
      </c>
      <c r="J114" s="144" t="str">
        <f t="shared" si="3"/>
        <v>MORENO VALLEY HIGH</v>
      </c>
    </row>
    <row r="115" spans="1:10" x14ac:dyDescent="0.25">
      <c r="A115" s="142" t="s">
        <v>604</v>
      </c>
      <c r="B115" s="142" t="s">
        <v>605</v>
      </c>
      <c r="C115" s="142" t="s">
        <v>49</v>
      </c>
      <c r="D115" s="142" t="s">
        <v>606</v>
      </c>
      <c r="E115" s="142" t="s">
        <v>607</v>
      </c>
      <c r="F115" s="143">
        <f t="shared" si="2"/>
        <v>137</v>
      </c>
      <c r="G115" s="143" t="str">
        <f>IFERROR(INDEX($A$2:$A$226,MATCH(ROWS($F$2:F115),$F$2:$F$226,0)),"")</f>
        <v>MORIARTY</v>
      </c>
      <c r="H115" s="144">
        <f>IF(ISERROR(SEARCH('CASH REPORT'!$C$1,$G115)),0,1)</f>
        <v>1</v>
      </c>
      <c r="I115" s="144">
        <f>IF($H115=0,"",COUNTIF($H$2:H115,1))</f>
        <v>114</v>
      </c>
      <c r="J115" s="144" t="str">
        <f t="shared" si="3"/>
        <v>MORIARTY</v>
      </c>
    </row>
    <row r="116" spans="1:10" x14ac:dyDescent="0.25">
      <c r="A116" s="142" t="s">
        <v>608</v>
      </c>
      <c r="B116" s="142" t="s">
        <v>609</v>
      </c>
      <c r="C116" s="142" t="s">
        <v>49</v>
      </c>
      <c r="D116" s="142" t="s">
        <v>301</v>
      </c>
      <c r="E116" s="142" t="s">
        <v>610</v>
      </c>
      <c r="F116" s="143">
        <f t="shared" si="2"/>
        <v>140</v>
      </c>
      <c r="G116" s="143" t="str">
        <f>IFERROR(INDEX($A$2:$A$226,MATCH(ROWS($F$2:F116),$F$2:$F$226,0)),"")</f>
        <v>MOSAIC ACADEMY CHARTER</v>
      </c>
      <c r="H116" s="144">
        <f>IF(ISERROR(SEARCH('CASH REPORT'!$C$1,$G116)),0,1)</f>
        <v>1</v>
      </c>
      <c r="I116" s="144">
        <f>IF($H116=0,"",COUNTIF($H$2:H116,1))</f>
        <v>115</v>
      </c>
      <c r="J116" s="144" t="str">
        <f t="shared" si="3"/>
        <v>MOSAIC ACADEMY CHARTER</v>
      </c>
    </row>
    <row r="117" spans="1:10" x14ac:dyDescent="0.25">
      <c r="A117" s="142" t="s">
        <v>611</v>
      </c>
      <c r="B117" s="142" t="s">
        <v>612</v>
      </c>
      <c r="C117" s="142" t="s">
        <v>49</v>
      </c>
      <c r="D117" s="142" t="s">
        <v>443</v>
      </c>
      <c r="E117" s="142" t="s">
        <v>613</v>
      </c>
      <c r="F117" s="143">
        <f t="shared" si="2"/>
        <v>143</v>
      </c>
      <c r="G117" s="143" t="str">
        <f>IFERROR(INDEX($A$2:$A$226,MATCH(ROWS($F$2:F117),$F$2:$F$226,0)),"")</f>
        <v>MOSQUERO</v>
      </c>
      <c r="H117" s="144">
        <f>IF(ISERROR(SEARCH('CASH REPORT'!$C$1,$G117)),0,1)</f>
        <v>1</v>
      </c>
      <c r="I117" s="144">
        <f>IF($H117=0,"",COUNTIF($H$2:H117,1))</f>
        <v>116</v>
      </c>
      <c r="J117" s="144" t="str">
        <f t="shared" si="3"/>
        <v>MOSQUERO</v>
      </c>
    </row>
    <row r="118" spans="1:10" x14ac:dyDescent="0.25">
      <c r="A118" s="142" t="s">
        <v>614</v>
      </c>
      <c r="B118" s="142" t="s">
        <v>615</v>
      </c>
      <c r="C118" s="142" t="s">
        <v>257</v>
      </c>
      <c r="D118" s="142" t="s">
        <v>287</v>
      </c>
      <c r="E118" s="142" t="s">
        <v>616</v>
      </c>
      <c r="F118" s="143">
        <f t="shared" si="2"/>
        <v>80</v>
      </c>
      <c r="G118" s="143" t="str">
        <f>IFERROR(INDEX($A$2:$A$226,MATCH(ROWS($F$2:F118),$F$2:$F$226,0)),"")</f>
        <v>MOUNTAIN MAHOGANY</v>
      </c>
      <c r="H118" s="144">
        <f>IF(ISERROR(SEARCH('CASH REPORT'!$C$1,$G118)),0,1)</f>
        <v>1</v>
      </c>
      <c r="I118" s="144">
        <f>IF($H118=0,"",COUNTIF($H$2:H118,1))</f>
        <v>117</v>
      </c>
      <c r="J118" s="144" t="str">
        <f t="shared" si="3"/>
        <v>MOUNTAIN MAHOGANY</v>
      </c>
    </row>
    <row r="119" spans="1:10" x14ac:dyDescent="0.25">
      <c r="A119" s="142"/>
      <c r="B119" s="142"/>
      <c r="C119" s="142"/>
      <c r="D119" s="142"/>
      <c r="E119" s="142"/>
      <c r="F119" s="143">
        <f t="shared" si="2"/>
        <v>0</v>
      </c>
      <c r="G119" s="143" t="str">
        <f>IFERROR(INDEX($A$2:$A$226,MATCH(ROWS($F$2:F119),$F$2:$F$226,0)),"")</f>
        <v>MOUNTAINAIR</v>
      </c>
      <c r="H119" s="144">
        <f>IF(ISERROR(SEARCH('CASH REPORT'!$C$1,$G119)),0,1)</f>
        <v>1</v>
      </c>
      <c r="I119" s="144">
        <f>IF($H119=0,"",COUNTIF($H$2:H119,1))</f>
        <v>118</v>
      </c>
      <c r="J119" s="144" t="str">
        <f t="shared" si="3"/>
        <v>MOUNTAINAIR</v>
      </c>
    </row>
    <row r="120" spans="1:10" x14ac:dyDescent="0.25">
      <c r="A120" s="142" t="s">
        <v>617</v>
      </c>
      <c r="B120" s="142" t="s">
        <v>618</v>
      </c>
      <c r="C120" s="142" t="s">
        <v>49</v>
      </c>
      <c r="D120" s="142" t="s">
        <v>575</v>
      </c>
      <c r="E120" s="142" t="s">
        <v>619</v>
      </c>
      <c r="F120" s="143">
        <f t="shared" si="2"/>
        <v>144</v>
      </c>
      <c r="G120" s="143" t="str">
        <f>IFERROR(INDEX($A$2:$A$226,MATCH(ROWS($F$2:F120),$F$2:$F$226,0)),"")</f>
        <v>NATIVE AMERICAN COMM ACAD.</v>
      </c>
      <c r="H120" s="144">
        <f>IF(ISERROR(SEARCH('CASH REPORT'!$C$1,$G120)),0,1)</f>
        <v>1</v>
      </c>
      <c r="I120" s="144">
        <f>IF($H120=0,"",COUNTIF($H$2:H120,1))</f>
        <v>119</v>
      </c>
      <c r="J120" s="144" t="str">
        <f t="shared" si="3"/>
        <v>NATIVE AMERICAN COMM ACAD.</v>
      </c>
    </row>
    <row r="121" spans="1:10" x14ac:dyDescent="0.25">
      <c r="A121" s="142" t="s">
        <v>620</v>
      </c>
      <c r="B121" s="142" t="s">
        <v>621</v>
      </c>
      <c r="C121" s="142" t="s">
        <v>49</v>
      </c>
      <c r="D121" s="142" t="s">
        <v>377</v>
      </c>
      <c r="E121" s="142" t="s">
        <v>622</v>
      </c>
      <c r="F121" s="143">
        <f t="shared" si="2"/>
        <v>145</v>
      </c>
      <c r="G121" s="143" t="str">
        <f>IFERROR(INDEX($A$2:$A$226,MATCH(ROWS($F$2:F121),$F$2:$F$226,0)),"")</f>
        <v>NEW AMERICA CHARTER SCHOOL</v>
      </c>
      <c r="H121" s="144">
        <f>IF(ISERROR(SEARCH('CASH REPORT'!$C$1,$G121)),0,1)</f>
        <v>1</v>
      </c>
      <c r="I121" s="144">
        <f>IF($H121=0,"",COUNTIF($H$2:H121,1))</f>
        <v>120</v>
      </c>
      <c r="J121" s="144" t="str">
        <f t="shared" si="3"/>
        <v>NEW AMERICA CHARTER SCHOOL</v>
      </c>
    </row>
    <row r="122" spans="1:10" x14ac:dyDescent="0.25">
      <c r="A122" s="142" t="s">
        <v>623</v>
      </c>
      <c r="B122" s="142" t="s">
        <v>624</v>
      </c>
      <c r="C122" s="142" t="s">
        <v>49</v>
      </c>
      <c r="D122" s="142" t="s">
        <v>625</v>
      </c>
      <c r="E122" s="142" t="s">
        <v>626</v>
      </c>
      <c r="F122" s="143">
        <f t="shared" si="2"/>
        <v>147</v>
      </c>
      <c r="G122" s="143" t="str">
        <f>IFERROR(INDEX($A$2:$A$226,MATCH(ROWS($F$2:F122),$F$2:$F$226,0)),"")</f>
        <v>NEW AMERICA SCHOOL - LAS CRUCES</v>
      </c>
      <c r="H122" s="144">
        <f>IF(ISERROR(SEARCH('CASH REPORT'!$C$1,$G122)),0,1)</f>
        <v>1</v>
      </c>
      <c r="I122" s="144">
        <f>IF($H122=0,"",COUNTIF($H$2:H122,1))</f>
        <v>121</v>
      </c>
      <c r="J122" s="144" t="str">
        <f t="shared" si="3"/>
        <v>NEW AMERICA SCHOOL - LAS CRUCES</v>
      </c>
    </row>
    <row r="123" spans="1:10" x14ac:dyDescent="0.25">
      <c r="A123" s="142" t="s">
        <v>627</v>
      </c>
      <c r="B123" s="142" t="s">
        <v>628</v>
      </c>
      <c r="C123" s="142" t="s">
        <v>49</v>
      </c>
      <c r="D123" s="142" t="s">
        <v>250</v>
      </c>
      <c r="E123" s="142" t="s">
        <v>250</v>
      </c>
      <c r="F123" s="143">
        <f t="shared" si="2"/>
        <v>149</v>
      </c>
      <c r="G123" s="143" t="str">
        <f>IFERROR(INDEX($A$2:$A$226,MATCH(ROWS($F$2:F123),$F$2:$F$226,0)),"")</f>
        <v>NEW MEXICO CONNECTIONS ACADEMY</v>
      </c>
      <c r="H123" s="144">
        <f>IF(ISERROR(SEARCH('CASH REPORT'!$C$1,$G123)),0,1)</f>
        <v>1</v>
      </c>
      <c r="I123" s="144">
        <f>IF($H123=0,"",COUNTIF($H$2:H123,1))</f>
        <v>122</v>
      </c>
      <c r="J123" s="144" t="str">
        <f t="shared" si="3"/>
        <v>NEW MEXICO CONNECTIONS ACADEMY</v>
      </c>
    </row>
    <row r="124" spans="1:10" x14ac:dyDescent="0.25">
      <c r="A124" s="142" t="s">
        <v>629</v>
      </c>
      <c r="B124" s="142" t="s">
        <v>630</v>
      </c>
      <c r="C124" s="142" t="s">
        <v>249</v>
      </c>
      <c r="D124" s="142" t="s">
        <v>381</v>
      </c>
      <c r="E124" s="142" t="s">
        <v>631</v>
      </c>
      <c r="F124" s="143">
        <f t="shared" si="2"/>
        <v>82</v>
      </c>
      <c r="G124" s="143" t="str">
        <f>IFERROR(INDEX($A$2:$A$226,MATCH(ROWS($F$2:F124),$F$2:$F$226,0)),"")</f>
        <v>NEW MEXICO INTERNATIONAL</v>
      </c>
      <c r="H124" s="144">
        <f>IF(ISERROR(SEARCH('CASH REPORT'!$C$1,$G124)),0,1)</f>
        <v>1</v>
      </c>
      <c r="I124" s="144">
        <f>IF($H124=0,"",COUNTIF($H$2:H124,1))</f>
        <v>123</v>
      </c>
      <c r="J124" s="144" t="str">
        <f t="shared" si="3"/>
        <v>NEW MEXICO INTERNATIONAL</v>
      </c>
    </row>
    <row r="125" spans="1:10" x14ac:dyDescent="0.25">
      <c r="A125" s="142"/>
      <c r="B125" s="142"/>
      <c r="C125" s="142"/>
      <c r="D125" s="142"/>
      <c r="E125" s="142"/>
      <c r="F125" s="143">
        <f t="shared" si="2"/>
        <v>0</v>
      </c>
      <c r="G125" s="143" t="str">
        <f>IFERROR(INDEX($A$2:$A$226,MATCH(ROWS($F$2:F125),$F$2:$F$226,0)),"")</f>
        <v>NEW MEXICO SCHOOL FOR THE ARTS ST. CH</v>
      </c>
      <c r="H125" s="144">
        <f>IF(ISERROR(SEARCH('CASH REPORT'!$C$1,$G125)),0,1)</f>
        <v>1</v>
      </c>
      <c r="I125" s="144">
        <f>IF($H125=0,"",COUNTIF($H$2:H125,1))</f>
        <v>124</v>
      </c>
      <c r="J125" s="144" t="str">
        <f t="shared" si="3"/>
        <v>NEW MEXICO SCHOOL FOR THE ARTS ST. CH</v>
      </c>
    </row>
    <row r="126" spans="1:10" x14ac:dyDescent="0.25">
      <c r="A126" s="142" t="s">
        <v>632</v>
      </c>
      <c r="B126" s="142" t="s">
        <v>633</v>
      </c>
      <c r="C126" s="142" t="s">
        <v>49</v>
      </c>
      <c r="D126" s="142" t="s">
        <v>634</v>
      </c>
      <c r="E126" s="142" t="s">
        <v>635</v>
      </c>
      <c r="F126" s="143">
        <f t="shared" si="2"/>
        <v>150</v>
      </c>
      <c r="G126" s="143" t="str">
        <f>IFERROR(INDEX($A$2:$A$226,MATCH(ROWS($F$2:F126),$F$2:$F$226,0)),"")</f>
        <v>NORTH VALLEY ACADEMY ST. CHARTER</v>
      </c>
      <c r="H126" s="144">
        <f>IF(ISERROR(SEARCH('CASH REPORT'!$C$1,$G126)),0,1)</f>
        <v>1</v>
      </c>
      <c r="I126" s="144">
        <f>IF($H126=0,"",COUNTIF($H$2:H126,1))</f>
        <v>125</v>
      </c>
      <c r="J126" s="144" t="str">
        <f t="shared" si="3"/>
        <v>NORTH VALLEY ACADEMY ST. CHARTER</v>
      </c>
    </row>
    <row r="127" spans="1:10" x14ac:dyDescent="0.25">
      <c r="A127" s="142" t="s">
        <v>636</v>
      </c>
      <c r="B127" s="142" t="s">
        <v>637</v>
      </c>
      <c r="C127" s="142" t="s">
        <v>49</v>
      </c>
      <c r="D127" s="142" t="s">
        <v>280</v>
      </c>
      <c r="E127" s="142" t="s">
        <v>638</v>
      </c>
      <c r="F127" s="143">
        <f t="shared" si="2"/>
        <v>154</v>
      </c>
      <c r="G127" s="143" t="str">
        <f>IFERROR(INDEX($A$2:$A$226,MATCH(ROWS($F$2:F127),$F$2:$F$226,0)),"")</f>
        <v>PAPA</v>
      </c>
      <c r="H127" s="144">
        <f>IF(ISERROR(SEARCH('CASH REPORT'!$C$1,$G127)),0,1)</f>
        <v>1</v>
      </c>
      <c r="I127" s="144">
        <f>IF($H127=0,"",COUNTIF($H$2:H127,1))</f>
        <v>126</v>
      </c>
      <c r="J127" s="144" t="str">
        <f t="shared" si="3"/>
        <v>PAPA</v>
      </c>
    </row>
    <row r="128" spans="1:10" x14ac:dyDescent="0.25">
      <c r="A128" s="142" t="s">
        <v>639</v>
      </c>
      <c r="B128" s="142" t="s">
        <v>640</v>
      </c>
      <c r="C128" s="142" t="s">
        <v>49</v>
      </c>
      <c r="D128" s="142" t="s">
        <v>323</v>
      </c>
      <c r="E128" s="142" t="s">
        <v>323</v>
      </c>
      <c r="F128" s="143">
        <f t="shared" si="2"/>
        <v>156</v>
      </c>
      <c r="G128" s="143" t="str">
        <f>IFERROR(INDEX($A$2:$A$226,MATCH(ROWS($F$2:F128),$F$2:$F$226,0)),"")</f>
        <v>PECOS</v>
      </c>
      <c r="H128" s="144">
        <f>IF(ISERROR(SEARCH('CASH REPORT'!$C$1,$G128)),0,1)</f>
        <v>1</v>
      </c>
      <c r="I128" s="144">
        <f>IF($H128=0,"",COUNTIF($H$2:H128,1))</f>
        <v>127</v>
      </c>
      <c r="J128" s="144" t="str">
        <f t="shared" si="3"/>
        <v>PECOS</v>
      </c>
    </row>
    <row r="129" spans="1:10" x14ac:dyDescent="0.25">
      <c r="A129" s="142" t="s">
        <v>641</v>
      </c>
      <c r="B129" s="142" t="s">
        <v>642</v>
      </c>
      <c r="C129" s="142" t="s">
        <v>249</v>
      </c>
      <c r="D129" s="142" t="s">
        <v>245</v>
      </c>
      <c r="E129" s="142" t="s">
        <v>643</v>
      </c>
      <c r="F129" s="143">
        <f t="shared" si="2"/>
        <v>85</v>
      </c>
      <c r="G129" s="143" t="str">
        <f>IFERROR(INDEX($A$2:$A$226,MATCH(ROWS($F$2:F129),$F$2:$F$226,0)),"")</f>
        <v>PECOS CONNECTIONS</v>
      </c>
      <c r="H129" s="144">
        <f>IF(ISERROR(SEARCH('CASH REPORT'!$C$1,$G129)),0,1)</f>
        <v>1</v>
      </c>
      <c r="I129" s="144">
        <f>IF($H129=0,"",COUNTIF($H$2:H129,1))</f>
        <v>128</v>
      </c>
      <c r="J129" s="144" t="str">
        <f t="shared" si="3"/>
        <v>PECOS CONNECTIONS</v>
      </c>
    </row>
    <row r="130" spans="1:10" x14ac:dyDescent="0.25">
      <c r="A130" s="142"/>
      <c r="B130" s="142"/>
      <c r="C130" s="142"/>
      <c r="D130" s="142"/>
      <c r="E130" s="142"/>
      <c r="F130" s="143">
        <f t="shared" si="2"/>
        <v>0</v>
      </c>
      <c r="G130" s="143" t="str">
        <f>IFERROR(INDEX($A$2:$A$226,MATCH(ROWS($F$2:F130),$F$2:$F$226,0)),"")</f>
        <v>PEÑASCO</v>
      </c>
      <c r="H130" s="144">
        <f>IF(ISERROR(SEARCH('CASH REPORT'!$C$1,$G130)),0,1)</f>
        <v>1</v>
      </c>
      <c r="I130" s="144">
        <f>IF($H130=0,"",COUNTIF($H$2:H130,1))</f>
        <v>129</v>
      </c>
      <c r="J130" s="144" t="str">
        <f t="shared" si="3"/>
        <v>PEÑASCO</v>
      </c>
    </row>
    <row r="131" spans="1:10" x14ac:dyDescent="0.25">
      <c r="A131" s="142" t="s">
        <v>644</v>
      </c>
      <c r="B131" s="142" t="s">
        <v>645</v>
      </c>
      <c r="C131" s="142" t="s">
        <v>49</v>
      </c>
      <c r="D131" s="142" t="s">
        <v>646</v>
      </c>
      <c r="E131" s="142" t="s">
        <v>647</v>
      </c>
      <c r="F131" s="143">
        <f t="shared" ref="F131:F194" si="4">COUNTIF($A$2:$A$226,"&lt;="&amp;A131)</f>
        <v>162</v>
      </c>
      <c r="G131" s="143" t="str">
        <f>IFERROR(INDEX($A$2:$A$226,MATCH(ROWS($F$2:F131),$F$2:$F$226,0)),"")</f>
        <v>POJOAQUE</v>
      </c>
      <c r="H131" s="144">
        <f>IF(ISERROR(SEARCH('CASH REPORT'!$C$1,$G131)),0,1)</f>
        <v>1</v>
      </c>
      <c r="I131" s="144">
        <f>IF($H131=0,"",COUNTIF($H$2:H131,1))</f>
        <v>130</v>
      </c>
      <c r="J131" s="144" t="str">
        <f t="shared" ref="J131:J194" si="5">IFERROR(INDEX(G130:G355,MATCH(ROW(I130),I130:I355,0)),"")</f>
        <v>POJOAQUE</v>
      </c>
    </row>
    <row r="132" spans="1:10" x14ac:dyDescent="0.25">
      <c r="A132" s="142" t="s">
        <v>648</v>
      </c>
      <c r="B132" s="142" t="s">
        <v>649</v>
      </c>
      <c r="C132" s="142" t="s">
        <v>49</v>
      </c>
      <c r="D132" s="142" t="s">
        <v>297</v>
      </c>
      <c r="E132" s="142" t="s">
        <v>297</v>
      </c>
      <c r="F132" s="143">
        <f t="shared" si="4"/>
        <v>164</v>
      </c>
      <c r="G132" s="143" t="str">
        <f>IFERROR(INDEX($A$2:$A$226,MATCH(ROWS($F$2:F132),$F$2:$F$226,0)),"")</f>
        <v>PORTALES</v>
      </c>
      <c r="H132" s="144">
        <f>IF(ISERROR(SEARCH('CASH REPORT'!$C$1,$G132)),0,1)</f>
        <v>1</v>
      </c>
      <c r="I132" s="144">
        <f>IF($H132=0,"",COUNTIF($H$2:H132,1))</f>
        <v>131</v>
      </c>
      <c r="J132" s="144" t="str">
        <f t="shared" si="5"/>
        <v>PORTALES</v>
      </c>
    </row>
    <row r="133" spans="1:10" x14ac:dyDescent="0.25">
      <c r="A133" s="142" t="s">
        <v>650</v>
      </c>
      <c r="B133" s="142" t="s">
        <v>651</v>
      </c>
      <c r="C133" s="142" t="s">
        <v>257</v>
      </c>
      <c r="D133" s="142" t="s">
        <v>287</v>
      </c>
      <c r="E133" s="142" t="s">
        <v>652</v>
      </c>
      <c r="F133" s="143">
        <f t="shared" si="4"/>
        <v>86</v>
      </c>
      <c r="G133" s="143" t="str">
        <f>IFERROR(INDEX($A$2:$A$226,MATCH(ROWS($F$2:F133),$F$2:$F$226,0)),"")</f>
        <v>QUEMADO</v>
      </c>
      <c r="H133" s="144">
        <f>IF(ISERROR(SEARCH('CASH REPORT'!$C$1,$G133)),0,1)</f>
        <v>1</v>
      </c>
      <c r="I133" s="144">
        <f>IF($H133=0,"",COUNTIF($H$2:H133,1))</f>
        <v>132</v>
      </c>
      <c r="J133" s="144" t="str">
        <f t="shared" si="5"/>
        <v>QUEMADO</v>
      </c>
    </row>
    <row r="134" spans="1:10" x14ac:dyDescent="0.25">
      <c r="A134" s="142" t="s">
        <v>653</v>
      </c>
      <c r="B134" s="142" t="s">
        <v>654</v>
      </c>
      <c r="C134" s="142" t="s">
        <v>257</v>
      </c>
      <c r="D134" s="142" t="s">
        <v>401</v>
      </c>
      <c r="E134" s="142" t="s">
        <v>655</v>
      </c>
      <c r="F134" s="143">
        <f t="shared" si="4"/>
        <v>87</v>
      </c>
      <c r="G134" s="143" t="str">
        <f>IFERROR(INDEX($A$2:$A$226,MATCH(ROWS($F$2:F134),$F$2:$F$226,0)),"")</f>
        <v>QUESTA</v>
      </c>
      <c r="H134" s="144">
        <f>IF(ISERROR(SEARCH('CASH REPORT'!$C$1,$G134)),0,1)</f>
        <v>1</v>
      </c>
      <c r="I134" s="144">
        <f>IF($H134=0,"",COUNTIF($H$2:H134,1))</f>
        <v>133</v>
      </c>
      <c r="J134" s="144" t="str">
        <f t="shared" si="5"/>
        <v>QUESTA</v>
      </c>
    </row>
    <row r="135" spans="1:10" x14ac:dyDescent="0.25">
      <c r="A135" s="142" t="s">
        <v>656</v>
      </c>
      <c r="B135" s="142" t="s">
        <v>657</v>
      </c>
      <c r="C135" s="142" t="s">
        <v>257</v>
      </c>
      <c r="D135" s="142" t="s">
        <v>287</v>
      </c>
      <c r="E135" s="142" t="s">
        <v>658</v>
      </c>
      <c r="F135" s="143">
        <f t="shared" si="4"/>
        <v>90</v>
      </c>
      <c r="G135" s="143" t="str">
        <f>IFERROR(INDEX($A$2:$A$226,MATCH(ROWS($F$2:F135),$F$2:$F$226,0)),"")</f>
        <v>RAICES DEL SABER XINACHTLI</v>
      </c>
      <c r="H135" s="144">
        <f>IF(ISERROR(SEARCH('CASH REPORT'!$C$1,$G135)),0,1)</f>
        <v>1</v>
      </c>
      <c r="I135" s="144">
        <f>IF($H135=0,"",COUNTIF($H$2:H135,1))</f>
        <v>134</v>
      </c>
      <c r="J135" s="144" t="str">
        <f t="shared" si="5"/>
        <v>RAICES DEL SABER XINACHTLI</v>
      </c>
    </row>
    <row r="136" spans="1:10" x14ac:dyDescent="0.25">
      <c r="A136" s="142"/>
      <c r="B136" s="142"/>
      <c r="C136" s="142"/>
      <c r="D136" s="142"/>
      <c r="E136" s="142"/>
      <c r="F136" s="143">
        <f t="shared" si="4"/>
        <v>0</v>
      </c>
      <c r="G136" s="143" t="str">
        <f>IFERROR(INDEX($A$2:$A$226,MATCH(ROWS($F$2:F136),$F$2:$F$226,0)),"")</f>
        <v>RATON</v>
      </c>
      <c r="H136" s="144">
        <f>IF(ISERROR(SEARCH('CASH REPORT'!$C$1,$G136)),0,1)</f>
        <v>1</v>
      </c>
      <c r="I136" s="144">
        <f>IF($H136=0,"",COUNTIF($H$2:H136,1))</f>
        <v>135</v>
      </c>
      <c r="J136" s="144" t="str">
        <f t="shared" si="5"/>
        <v>RATON</v>
      </c>
    </row>
    <row r="137" spans="1:10" x14ac:dyDescent="0.25">
      <c r="A137" s="142" t="s">
        <v>659</v>
      </c>
      <c r="B137" s="142" t="s">
        <v>660</v>
      </c>
      <c r="C137" s="142" t="s">
        <v>49</v>
      </c>
      <c r="D137" s="142" t="s">
        <v>661</v>
      </c>
      <c r="E137" s="142" t="s">
        <v>662</v>
      </c>
      <c r="F137" s="143">
        <f t="shared" si="4"/>
        <v>169</v>
      </c>
      <c r="G137" s="143" t="str">
        <f>IFERROR(INDEX($A$2:$A$226,MATCH(ROWS($F$2:F137),$F$2:$F$226,0)),"")</f>
        <v>RED RIVER VALLEY</v>
      </c>
      <c r="H137" s="144">
        <f>IF(ISERROR(SEARCH('CASH REPORT'!$C$1,$G137)),0,1)</f>
        <v>1</v>
      </c>
      <c r="I137" s="144">
        <f>IF($H137=0,"",COUNTIF($H$2:H137,1))</f>
        <v>136</v>
      </c>
      <c r="J137" s="144" t="str">
        <f t="shared" si="5"/>
        <v>RED RIVER VALLEY</v>
      </c>
    </row>
    <row r="138" spans="1:10" x14ac:dyDescent="0.25">
      <c r="A138" s="142" t="s">
        <v>663</v>
      </c>
      <c r="B138" s="142" t="s">
        <v>664</v>
      </c>
      <c r="C138" s="142" t="s">
        <v>49</v>
      </c>
      <c r="D138" s="142" t="s">
        <v>665</v>
      </c>
      <c r="E138" s="142" t="s">
        <v>666</v>
      </c>
      <c r="F138" s="143">
        <f t="shared" si="4"/>
        <v>171</v>
      </c>
      <c r="G138" s="143" t="str">
        <f>IFERROR(INDEX($A$2:$A$226,MATCH(ROWS($F$2:F138),$F$2:$F$226,0)),"")</f>
        <v>RESERVE</v>
      </c>
      <c r="H138" s="144">
        <f>IF(ISERROR(SEARCH('CASH REPORT'!$C$1,$G138)),0,1)</f>
        <v>1</v>
      </c>
      <c r="I138" s="144">
        <f>IF($H138=0,"",COUNTIF($H$2:H138,1))</f>
        <v>137</v>
      </c>
      <c r="J138" s="144" t="str">
        <f t="shared" si="5"/>
        <v>RESERVE</v>
      </c>
    </row>
    <row r="139" spans="1:10" x14ac:dyDescent="0.25">
      <c r="A139" s="142" t="s">
        <v>667</v>
      </c>
      <c r="B139" s="142" t="s">
        <v>668</v>
      </c>
      <c r="C139" s="142" t="s">
        <v>49</v>
      </c>
      <c r="D139" s="142" t="s">
        <v>669</v>
      </c>
      <c r="E139" s="142" t="s">
        <v>670</v>
      </c>
      <c r="F139" s="143">
        <f t="shared" si="4"/>
        <v>177</v>
      </c>
      <c r="G139" s="143" t="str">
        <f>IFERROR(INDEX($A$2:$A$226,MATCH(ROWS($F$2:F139),$F$2:$F$226,0)),"")</f>
        <v>RIO GALLINAS CHARTER SCHOOL</v>
      </c>
      <c r="H139" s="144">
        <f>IF(ISERROR(SEARCH('CASH REPORT'!$C$1,$G139)),0,1)</f>
        <v>1</v>
      </c>
      <c r="I139" s="144">
        <f>IF($H139=0,"",COUNTIF($H$2:H139,1))</f>
        <v>138</v>
      </c>
      <c r="J139" s="144" t="str">
        <f t="shared" si="5"/>
        <v>RIO GALLINAS CHARTER SCHOOL</v>
      </c>
    </row>
    <row r="140" spans="1:10" x14ac:dyDescent="0.25">
      <c r="A140" s="142" t="s">
        <v>671</v>
      </c>
      <c r="B140" s="142" t="s">
        <v>672</v>
      </c>
      <c r="C140" s="142" t="s">
        <v>49</v>
      </c>
      <c r="D140" s="142" t="s">
        <v>625</v>
      </c>
      <c r="E140" s="142" t="s">
        <v>673</v>
      </c>
      <c r="F140" s="143">
        <f t="shared" si="4"/>
        <v>178</v>
      </c>
      <c r="G140" s="143" t="str">
        <f>IFERROR(INDEX($A$2:$A$226,MATCH(ROWS($F$2:F140),$F$2:$F$226,0)),"")</f>
        <v>RIO GRANDE ACADEMY OF FINE ARTS</v>
      </c>
      <c r="H140" s="144">
        <f>IF(ISERROR(SEARCH('CASH REPORT'!$C$1,$G140)),0,1)</f>
        <v>1</v>
      </c>
      <c r="I140" s="144">
        <f>IF($H140=0,"",COUNTIF($H$2:H140,1))</f>
        <v>139</v>
      </c>
      <c r="J140" s="144" t="str">
        <f t="shared" si="5"/>
        <v>RIO GRANDE ACADEMY OF FINE ARTS</v>
      </c>
    </row>
    <row r="141" spans="1:10" x14ac:dyDescent="0.25">
      <c r="A141" s="142" t="s">
        <v>674</v>
      </c>
      <c r="B141" s="142" t="s">
        <v>675</v>
      </c>
      <c r="C141" s="142" t="s">
        <v>49</v>
      </c>
      <c r="D141" s="142" t="s">
        <v>241</v>
      </c>
      <c r="E141" s="142" t="s">
        <v>676</v>
      </c>
      <c r="F141" s="143">
        <f t="shared" si="4"/>
        <v>179</v>
      </c>
      <c r="G141" s="143" t="str">
        <f>IFERROR(INDEX($A$2:$A$226,MATCH(ROWS($F$2:F141),$F$2:$F$226,0)),"")</f>
        <v>RIO RANCHO</v>
      </c>
      <c r="H141" s="144">
        <f>IF(ISERROR(SEARCH('CASH REPORT'!$C$1,$G141)),0,1)</f>
        <v>1</v>
      </c>
      <c r="I141" s="144">
        <f>IF($H141=0,"",COUNTIF($H$2:H141,1))</f>
        <v>140</v>
      </c>
      <c r="J141" s="144" t="str">
        <f t="shared" si="5"/>
        <v>RIO RANCHO</v>
      </c>
    </row>
    <row r="142" spans="1:10" x14ac:dyDescent="0.25">
      <c r="A142" s="142" t="s">
        <v>677</v>
      </c>
      <c r="B142" s="142" t="s">
        <v>678</v>
      </c>
      <c r="C142" s="142" t="s">
        <v>49</v>
      </c>
      <c r="D142" s="142" t="s">
        <v>679</v>
      </c>
      <c r="E142" s="142" t="s">
        <v>680</v>
      </c>
      <c r="F142" s="143">
        <f t="shared" si="4"/>
        <v>183</v>
      </c>
      <c r="G142" s="143" t="str">
        <f>IFERROR(INDEX($A$2:$A$226,MATCH(ROWS($F$2:F142),$F$2:$F$226,0)),"")</f>
        <v>ROBERT F. KENNEDY</v>
      </c>
      <c r="H142" s="144">
        <f>IF(ISERROR(SEARCH('CASH REPORT'!$C$1,$G142)),0,1)</f>
        <v>1</v>
      </c>
      <c r="I142" s="144">
        <f>IF($H142=0,"",COUNTIF($H$2:H142,1))</f>
        <v>141</v>
      </c>
      <c r="J142" s="144" t="str">
        <f t="shared" si="5"/>
        <v>ROBERT F. KENNEDY</v>
      </c>
    </row>
    <row r="143" spans="1:10" x14ac:dyDescent="0.25">
      <c r="A143" s="142" t="s">
        <v>681</v>
      </c>
      <c r="B143" s="142" t="s">
        <v>682</v>
      </c>
      <c r="C143" s="142" t="s">
        <v>49</v>
      </c>
      <c r="D143" s="142" t="s">
        <v>568</v>
      </c>
      <c r="E143" s="142" t="s">
        <v>683</v>
      </c>
      <c r="F143" s="143">
        <f t="shared" si="4"/>
        <v>186</v>
      </c>
      <c r="G143" s="143" t="str">
        <f>IFERROR(INDEX($A$2:$A$226,MATCH(ROWS($F$2:F143),$F$2:$F$226,0)),"")</f>
        <v>ROOTS &amp; WINGS</v>
      </c>
      <c r="H143" s="144">
        <f>IF(ISERROR(SEARCH('CASH REPORT'!$C$1,$G143)),0,1)</f>
        <v>1</v>
      </c>
      <c r="I143" s="144">
        <f>IF($H143=0,"",COUNTIF($H$2:H143,1))</f>
        <v>142</v>
      </c>
      <c r="J143" s="144" t="str">
        <f t="shared" si="5"/>
        <v>ROOTS &amp; WINGS</v>
      </c>
    </row>
    <row r="144" spans="1:10" x14ac:dyDescent="0.25">
      <c r="A144" s="142" t="s">
        <v>684</v>
      </c>
      <c r="B144" s="142" t="s">
        <v>685</v>
      </c>
      <c r="C144" s="142" t="s">
        <v>49</v>
      </c>
      <c r="D144" s="142" t="s">
        <v>583</v>
      </c>
      <c r="E144" s="142" t="s">
        <v>686</v>
      </c>
      <c r="F144" s="143">
        <f t="shared" si="4"/>
        <v>188</v>
      </c>
      <c r="G144" s="143" t="str">
        <f>IFERROR(INDEX($A$2:$A$226,MATCH(ROWS($F$2:F144),$F$2:$F$226,0)),"")</f>
        <v>ROSWELL</v>
      </c>
      <c r="H144" s="144">
        <f>IF(ISERROR(SEARCH('CASH REPORT'!$C$1,$G144)),0,1)</f>
        <v>1</v>
      </c>
      <c r="I144" s="144">
        <f>IF($H144=0,"",COUNTIF($H$2:H144,1))</f>
        <v>143</v>
      </c>
      <c r="J144" s="144" t="str">
        <f t="shared" si="5"/>
        <v>ROSWELL</v>
      </c>
    </row>
    <row r="145" spans="1:10" x14ac:dyDescent="0.25">
      <c r="A145" s="142" t="s">
        <v>687</v>
      </c>
      <c r="B145" s="142" t="s">
        <v>688</v>
      </c>
      <c r="C145" s="142" t="s">
        <v>249</v>
      </c>
      <c r="D145" s="142" t="s">
        <v>245</v>
      </c>
      <c r="E145" s="142" t="s">
        <v>689</v>
      </c>
      <c r="F145" s="143">
        <f t="shared" si="4"/>
        <v>96</v>
      </c>
      <c r="G145" s="143" t="str">
        <f>IFERROR(INDEX($A$2:$A$226,MATCH(ROWS($F$2:F145),$F$2:$F$226,0)),"")</f>
        <v>ROY</v>
      </c>
      <c r="H145" s="144">
        <f>IF(ISERROR(SEARCH('CASH REPORT'!$C$1,$G145)),0,1)</f>
        <v>1</v>
      </c>
      <c r="I145" s="144">
        <f>IF($H145=0,"",COUNTIF($H$2:H145,1))</f>
        <v>144</v>
      </c>
      <c r="J145" s="144" t="str">
        <f t="shared" si="5"/>
        <v>ROY</v>
      </c>
    </row>
    <row r="146" spans="1:10" x14ac:dyDescent="0.25">
      <c r="A146" s="142"/>
      <c r="B146" s="142"/>
      <c r="C146" s="142"/>
      <c r="D146" s="142"/>
      <c r="E146" s="142"/>
      <c r="F146" s="143">
        <f t="shared" si="4"/>
        <v>0</v>
      </c>
      <c r="G146" s="143" t="str">
        <f>IFERROR(INDEX($A$2:$A$226,MATCH(ROWS($F$2:F146),$F$2:$F$226,0)),"")</f>
        <v>RUIDOSO</v>
      </c>
      <c r="H146" s="144">
        <f>IF(ISERROR(SEARCH('CASH REPORT'!$C$1,$G146)),0,1)</f>
        <v>1</v>
      </c>
      <c r="I146" s="144">
        <f>IF($H146=0,"",COUNTIF($H$2:H146,1))</f>
        <v>145</v>
      </c>
      <c r="J146" s="144" t="str">
        <f t="shared" si="5"/>
        <v>RUIDOSO</v>
      </c>
    </row>
    <row r="147" spans="1:10" x14ac:dyDescent="0.25">
      <c r="A147" s="142" t="s">
        <v>690</v>
      </c>
      <c r="B147" s="142" t="s">
        <v>691</v>
      </c>
      <c r="C147" s="142" t="s">
        <v>49</v>
      </c>
      <c r="D147" s="142" t="s">
        <v>483</v>
      </c>
      <c r="E147" s="142" t="s">
        <v>692</v>
      </c>
      <c r="F147" s="143">
        <f t="shared" si="4"/>
        <v>190</v>
      </c>
      <c r="G147" s="143" t="str">
        <f>IFERROR(INDEX($A$2:$A$226,MATCH(ROWS($F$2:F147),$F$2:$F$226,0)),"")</f>
        <v>SAN DIEGO RIVERSIDE CHARTER</v>
      </c>
      <c r="H147" s="144">
        <f>IF(ISERROR(SEARCH('CASH REPORT'!$C$1,$G147)),0,1)</f>
        <v>1</v>
      </c>
      <c r="I147" s="144">
        <f>IF($H147=0,"",COUNTIF($H$2:H147,1))</f>
        <v>146</v>
      </c>
      <c r="J147" s="144" t="str">
        <f t="shared" si="5"/>
        <v>SAN DIEGO RIVERSIDE CHARTER</v>
      </c>
    </row>
    <row r="148" spans="1:10" x14ac:dyDescent="0.25">
      <c r="A148" s="142"/>
      <c r="B148" s="142"/>
      <c r="C148" s="142"/>
      <c r="D148" s="142"/>
      <c r="E148" s="142"/>
      <c r="F148" s="143">
        <f t="shared" si="4"/>
        <v>0</v>
      </c>
      <c r="G148" s="143" t="str">
        <f>IFERROR(INDEX($A$2:$A$226,MATCH(ROWS($F$2:F148),$F$2:$F$226,0)),"")</f>
        <v>SAN JON</v>
      </c>
      <c r="H148" s="144">
        <f>IF(ISERROR(SEARCH('CASH REPORT'!$C$1,$G148)),0,1)</f>
        <v>1</v>
      </c>
      <c r="I148" s="144">
        <f>IF($H148=0,"",COUNTIF($H$2:H148,1))</f>
        <v>147</v>
      </c>
      <c r="J148" s="144" t="str">
        <f t="shared" si="5"/>
        <v>SAN JON</v>
      </c>
    </row>
    <row r="149" spans="1:10" x14ac:dyDescent="0.25">
      <c r="A149" s="142" t="s">
        <v>693</v>
      </c>
      <c r="B149" s="142" t="s">
        <v>694</v>
      </c>
      <c r="C149" s="142" t="s">
        <v>249</v>
      </c>
      <c r="D149" s="142" t="s">
        <v>245</v>
      </c>
      <c r="E149" s="142" t="s">
        <v>695</v>
      </c>
      <c r="F149" s="143">
        <f t="shared" si="4"/>
        <v>100</v>
      </c>
      <c r="G149" s="143" t="str">
        <f>IFERROR(INDEX($A$2:$A$226,MATCH(ROWS($F$2:F149),$F$2:$F$226,0)),"")</f>
        <v>SANDOVAL ACADEMY OF BIL ED SABE</v>
      </c>
      <c r="H149" s="144">
        <f>IF(ISERROR(SEARCH('CASH REPORT'!$C$1,$G149)),0,1)</f>
        <v>1</v>
      </c>
      <c r="I149" s="144">
        <f>IF($H149=0,"",COUNTIF($H$2:H149,1))</f>
        <v>148</v>
      </c>
      <c r="J149" s="144" t="str">
        <f t="shared" si="5"/>
        <v>SANDOVAL ACADEMY OF BIL ED SABE</v>
      </c>
    </row>
    <row r="150" spans="1:10" x14ac:dyDescent="0.25">
      <c r="A150" s="142" t="s">
        <v>696</v>
      </c>
      <c r="B150" s="142" t="s">
        <v>697</v>
      </c>
      <c r="C150" s="142" t="s">
        <v>257</v>
      </c>
      <c r="D150" s="142" t="s">
        <v>250</v>
      </c>
      <c r="E150" s="142" t="s">
        <v>698</v>
      </c>
      <c r="F150" s="143">
        <f t="shared" si="4"/>
        <v>101</v>
      </c>
      <c r="G150" s="143" t="str">
        <f>IFERROR(INDEX($A$2:$A$226,MATCH(ROWS($F$2:F150),$F$2:$F$226,0)),"")</f>
        <v>SANTA FE</v>
      </c>
      <c r="H150" s="144">
        <f>IF(ISERROR(SEARCH('CASH REPORT'!$C$1,$G150)),0,1)</f>
        <v>1</v>
      </c>
      <c r="I150" s="144">
        <f>IF($H150=0,"",COUNTIF($H$2:H150,1))</f>
        <v>149</v>
      </c>
      <c r="J150" s="144" t="str">
        <f t="shared" si="5"/>
        <v>SANTA FE</v>
      </c>
    </row>
    <row r="151" spans="1:10" x14ac:dyDescent="0.25">
      <c r="A151" s="142" t="s">
        <v>699</v>
      </c>
      <c r="B151" s="142" t="s">
        <v>700</v>
      </c>
      <c r="C151" s="142" t="s">
        <v>257</v>
      </c>
      <c r="D151" s="142" t="s">
        <v>250</v>
      </c>
      <c r="E151" s="142" t="s">
        <v>701</v>
      </c>
      <c r="F151" s="143">
        <f t="shared" si="4"/>
        <v>103</v>
      </c>
      <c r="G151" s="143" t="str">
        <f>IFERROR(INDEX($A$2:$A$226,MATCH(ROWS($F$2:F151),$F$2:$F$226,0)),"")</f>
        <v>SANTA ROSA</v>
      </c>
      <c r="H151" s="144">
        <f>IF(ISERROR(SEARCH('CASH REPORT'!$C$1,$G151)),0,1)</f>
        <v>1</v>
      </c>
      <c r="I151" s="144">
        <f>IF($H151=0,"",COUNTIF($H$2:H151,1))</f>
        <v>150</v>
      </c>
      <c r="J151" s="144" t="str">
        <f t="shared" si="5"/>
        <v>SANTA ROSA</v>
      </c>
    </row>
    <row r="152" spans="1:10" x14ac:dyDescent="0.25">
      <c r="A152" s="142" t="s">
        <v>702</v>
      </c>
      <c r="B152" s="142" t="s">
        <v>703</v>
      </c>
      <c r="C152" s="142" t="s">
        <v>257</v>
      </c>
      <c r="D152" s="142" t="s">
        <v>258</v>
      </c>
      <c r="E152" s="142" t="s">
        <v>704</v>
      </c>
      <c r="F152" s="143">
        <f t="shared" si="4"/>
        <v>104</v>
      </c>
      <c r="G152" s="143" t="str">
        <f>IFERROR(INDEX($A$2:$A$226,MATCH(ROWS($F$2:F152),$F$2:$F$226,0)),"")</f>
        <v>SCHOOL OF DREAMS ST. CHARTER</v>
      </c>
      <c r="H152" s="144">
        <f>IF(ISERROR(SEARCH('CASH REPORT'!$C$1,$G152)),0,1)</f>
        <v>1</v>
      </c>
      <c r="I152" s="144">
        <f>IF($H152=0,"",COUNTIF($H$2:H152,1))</f>
        <v>151</v>
      </c>
      <c r="J152" s="144" t="str">
        <f t="shared" si="5"/>
        <v>SCHOOL OF DREAMS ST. CHARTER</v>
      </c>
    </row>
    <row r="153" spans="1:10" x14ac:dyDescent="0.25">
      <c r="A153" s="142" t="s">
        <v>705</v>
      </c>
      <c r="B153" s="142" t="s">
        <v>706</v>
      </c>
      <c r="C153" s="142" t="s">
        <v>257</v>
      </c>
      <c r="D153" s="142" t="s">
        <v>327</v>
      </c>
      <c r="E153" s="142" t="s">
        <v>707</v>
      </c>
      <c r="F153" s="143">
        <f t="shared" si="4"/>
        <v>107</v>
      </c>
      <c r="G153" s="143" t="str">
        <f>IFERROR(INDEX($A$2:$A$226,MATCH(ROWS($F$2:F153),$F$2:$F$226,0)),"")</f>
        <v>SIDNEY GUTIERREZ</v>
      </c>
      <c r="H153" s="144">
        <f>IF(ISERROR(SEARCH('CASH REPORT'!$C$1,$G153)),0,1)</f>
        <v>1</v>
      </c>
      <c r="I153" s="144">
        <f>IF($H153=0,"",COUNTIF($H$2:H153,1))</f>
        <v>152</v>
      </c>
      <c r="J153" s="144" t="str">
        <f t="shared" si="5"/>
        <v>SIDNEY GUTIERREZ</v>
      </c>
    </row>
    <row r="154" spans="1:10" x14ac:dyDescent="0.25">
      <c r="A154" s="142" t="s">
        <v>708</v>
      </c>
      <c r="B154" s="142" t="s">
        <v>709</v>
      </c>
      <c r="C154" s="142" t="s">
        <v>257</v>
      </c>
      <c r="D154" s="142" t="s">
        <v>258</v>
      </c>
      <c r="E154" s="142" t="s">
        <v>710</v>
      </c>
      <c r="F154" s="143">
        <f t="shared" si="4"/>
        <v>108</v>
      </c>
      <c r="G154" s="143" t="str">
        <f>IFERROR(INDEX($A$2:$A$226,MATCH(ROWS($F$2:F154),$F$2:$F$226,0)),"")</f>
        <v>SIEMBRA LEADERSHIP HIGH SCHOOL</v>
      </c>
      <c r="H154" s="144">
        <f>IF(ISERROR(SEARCH('CASH REPORT'!$C$1,$G154)),0,1)</f>
        <v>1</v>
      </c>
      <c r="I154" s="144">
        <f>IF($H154=0,"",COUNTIF($H$2:H154,1))</f>
        <v>153</v>
      </c>
      <c r="J154" s="144" t="str">
        <f t="shared" si="5"/>
        <v>SIEMBRA LEADERSHIP HIGH SCHOOL</v>
      </c>
    </row>
    <row r="155" spans="1:10" x14ac:dyDescent="0.25">
      <c r="A155" s="142" t="s">
        <v>711</v>
      </c>
      <c r="B155" s="142" t="s">
        <v>712</v>
      </c>
      <c r="C155" s="142" t="s">
        <v>257</v>
      </c>
      <c r="D155" s="142" t="s">
        <v>250</v>
      </c>
      <c r="E155" s="142" t="s">
        <v>713</v>
      </c>
      <c r="F155" s="143">
        <f t="shared" si="4"/>
        <v>109</v>
      </c>
      <c r="G155" s="143" t="str">
        <f>IFERROR(INDEX($A$2:$A$226,MATCH(ROWS($F$2:F155),$F$2:$F$226,0)),"")</f>
        <v>SILVER CITY CONS.</v>
      </c>
      <c r="H155" s="144">
        <f>IF(ISERROR(SEARCH('CASH REPORT'!$C$1,$G155)),0,1)</f>
        <v>1</v>
      </c>
      <c r="I155" s="144">
        <f>IF($H155=0,"",COUNTIF($H$2:H155,1))</f>
        <v>154</v>
      </c>
      <c r="J155" s="144" t="str">
        <f t="shared" si="5"/>
        <v>SILVER CITY CONS.</v>
      </c>
    </row>
    <row r="156" spans="1:10" x14ac:dyDescent="0.25">
      <c r="A156" s="142" t="s">
        <v>714</v>
      </c>
      <c r="B156" s="142" t="s">
        <v>715</v>
      </c>
      <c r="C156" s="142" t="s">
        <v>257</v>
      </c>
      <c r="D156" s="142" t="s">
        <v>258</v>
      </c>
      <c r="E156" s="142" t="s">
        <v>716</v>
      </c>
      <c r="F156" s="143">
        <f t="shared" si="4"/>
        <v>110</v>
      </c>
      <c r="G156" s="143" t="str">
        <f>IFERROR(INDEX($A$2:$A$226,MATCH(ROWS($F$2:F156),$F$2:$F$226,0)),"")</f>
        <v>SIX DIRECTIONS</v>
      </c>
      <c r="H156" s="144">
        <f>IF(ISERROR(SEARCH('CASH REPORT'!$C$1,$G156)),0,1)</f>
        <v>1</v>
      </c>
      <c r="I156" s="144">
        <f>IF($H156=0,"",COUNTIF($H$2:H156,1))</f>
        <v>155</v>
      </c>
      <c r="J156" s="144" t="str">
        <f t="shared" si="5"/>
        <v>SIX DIRECTIONS</v>
      </c>
    </row>
    <row r="157" spans="1:10" x14ac:dyDescent="0.25">
      <c r="A157" s="142" t="s">
        <v>717</v>
      </c>
      <c r="B157" s="142" t="s">
        <v>718</v>
      </c>
      <c r="C157" s="142" t="s">
        <v>249</v>
      </c>
      <c r="D157" s="142" t="s">
        <v>245</v>
      </c>
      <c r="E157" s="142" t="s">
        <v>719</v>
      </c>
      <c r="F157" s="143">
        <f t="shared" si="4"/>
        <v>111</v>
      </c>
      <c r="G157" s="143" t="str">
        <f>IFERROR(INDEX($A$2:$A$226,MATCH(ROWS($F$2:F157),$F$2:$F$226,0)),"")</f>
        <v>SOCORRO</v>
      </c>
      <c r="H157" s="144">
        <f>IF(ISERROR(SEARCH('CASH REPORT'!$C$1,$G157)),0,1)</f>
        <v>1</v>
      </c>
      <c r="I157" s="144">
        <f>IF($H157=0,"",COUNTIF($H$2:H157,1))</f>
        <v>156</v>
      </c>
      <c r="J157" s="144" t="str">
        <f t="shared" si="5"/>
        <v>SOCORRO</v>
      </c>
    </row>
    <row r="158" spans="1:10" x14ac:dyDescent="0.25">
      <c r="A158" s="142" t="s">
        <v>720</v>
      </c>
      <c r="B158" s="142" t="s">
        <v>721</v>
      </c>
      <c r="C158" s="142" t="s">
        <v>249</v>
      </c>
      <c r="D158" s="142" t="s">
        <v>405</v>
      </c>
      <c r="E158" s="142" t="s">
        <v>722</v>
      </c>
      <c r="F158" s="143">
        <f t="shared" si="4"/>
        <v>113</v>
      </c>
      <c r="G158" s="143" t="str">
        <f>IFERROR(INDEX($A$2:$A$226,MATCH(ROWS($F$2:F158),$F$2:$F$226,0)),"")</f>
        <v>SOLARE COLLEGIATE</v>
      </c>
      <c r="H158" s="144">
        <f>IF(ISERROR(SEARCH('CASH REPORT'!$C$1,$G158)),0,1)</f>
        <v>1</v>
      </c>
      <c r="I158" s="144">
        <f>IF($H158=0,"",COUNTIF($H$2:H158,1))</f>
        <v>157</v>
      </c>
      <c r="J158" s="144" t="str">
        <f t="shared" si="5"/>
        <v>SOLARE COLLEGIATE</v>
      </c>
    </row>
    <row r="159" spans="1:10" x14ac:dyDescent="0.25">
      <c r="A159" s="142" t="s">
        <v>723</v>
      </c>
      <c r="B159" s="142" t="s">
        <v>724</v>
      </c>
      <c r="C159" s="142" t="s">
        <v>249</v>
      </c>
      <c r="D159" s="142" t="s">
        <v>337</v>
      </c>
      <c r="E159" s="142" t="s">
        <v>725</v>
      </c>
      <c r="F159" s="143">
        <f t="shared" si="4"/>
        <v>115</v>
      </c>
      <c r="G159" s="143" t="str">
        <f>IFERROR(INDEX($A$2:$A$226,MATCH(ROWS($F$2:F159),$F$2:$F$226,0)),"")</f>
        <v>SOUTH VALLEY</v>
      </c>
      <c r="H159" s="144">
        <f>IF(ISERROR(SEARCH('CASH REPORT'!$C$1,$G159)),0,1)</f>
        <v>1</v>
      </c>
      <c r="I159" s="144">
        <f>IF($H159=0,"",COUNTIF($H$2:H159,1))</f>
        <v>158</v>
      </c>
      <c r="J159" s="144" t="str">
        <f t="shared" si="5"/>
        <v>SOUTH VALLEY</v>
      </c>
    </row>
    <row r="160" spans="1:10" x14ac:dyDescent="0.25">
      <c r="A160" s="142" t="s">
        <v>726</v>
      </c>
      <c r="B160" s="142" t="s">
        <v>727</v>
      </c>
      <c r="C160" s="142" t="s">
        <v>249</v>
      </c>
      <c r="D160" s="142" t="s">
        <v>245</v>
      </c>
      <c r="E160" s="142" t="s">
        <v>728</v>
      </c>
      <c r="F160" s="143">
        <f t="shared" si="4"/>
        <v>117</v>
      </c>
      <c r="G160" s="143" t="str">
        <f>IFERROR(INDEX($A$2:$A$226,MATCH(ROWS($F$2:F160),$F$2:$F$226,0)),"")</f>
        <v>SOUTH VALLEY PREP ST. CHARTER</v>
      </c>
      <c r="H160" s="144">
        <f>IF(ISERROR(SEARCH('CASH REPORT'!$C$1,$G160)),0,1)</f>
        <v>1</v>
      </c>
      <c r="I160" s="144">
        <f>IF($H160=0,"",COUNTIF($H$2:H160,1))</f>
        <v>159</v>
      </c>
      <c r="J160" s="144" t="str">
        <f t="shared" si="5"/>
        <v>SOUTH VALLEY PREP ST. CHARTER</v>
      </c>
    </row>
    <row r="161" spans="1:10" x14ac:dyDescent="0.25">
      <c r="A161" s="142" t="s">
        <v>729</v>
      </c>
      <c r="B161" s="142" t="s">
        <v>730</v>
      </c>
      <c r="C161" s="142" t="s">
        <v>249</v>
      </c>
      <c r="D161" s="142" t="s">
        <v>245</v>
      </c>
      <c r="E161" s="142" t="s">
        <v>731</v>
      </c>
      <c r="F161" s="143">
        <f t="shared" si="4"/>
        <v>119</v>
      </c>
      <c r="G161" s="143" t="str">
        <f>IFERROR(INDEX($A$2:$A$226,MATCH(ROWS($F$2:F161),$F$2:$F$226,0)),"")</f>
        <v>SOUTHWEST PREPATORY LEARNING CENTER</v>
      </c>
      <c r="H161" s="144">
        <f>IF(ISERROR(SEARCH('CASH REPORT'!$C$1,$G161)),0,1)</f>
        <v>1</v>
      </c>
      <c r="I161" s="144">
        <f>IF($H161=0,"",COUNTIF($H$2:H161,1))</f>
        <v>160</v>
      </c>
      <c r="J161" s="144" t="str">
        <f t="shared" si="5"/>
        <v>SOUTHWEST PREPATORY LEARNING CENTER</v>
      </c>
    </row>
    <row r="162" spans="1:10" x14ac:dyDescent="0.25">
      <c r="A162" s="142" t="s">
        <v>732</v>
      </c>
      <c r="B162" s="142" t="s">
        <v>733</v>
      </c>
      <c r="C162" s="142" t="s">
        <v>249</v>
      </c>
      <c r="D162" s="142" t="s">
        <v>245</v>
      </c>
      <c r="E162" s="142" t="s">
        <v>734</v>
      </c>
      <c r="F162" s="143">
        <f t="shared" si="4"/>
        <v>120</v>
      </c>
      <c r="G162" s="143" t="str">
        <f>IFERROR(INDEX($A$2:$A$226,MATCH(ROWS($F$2:F162),$F$2:$F$226,0)),"")</f>
        <v>SOUTHWEST SECONDARY LEARNING CENTER</v>
      </c>
      <c r="H162" s="144">
        <f>IF(ISERROR(SEARCH('CASH REPORT'!$C$1,$G162)),0,1)</f>
        <v>1</v>
      </c>
      <c r="I162" s="144">
        <f>IF($H162=0,"",COUNTIF($H$2:H162,1))</f>
        <v>161</v>
      </c>
      <c r="J162" s="144" t="str">
        <f t="shared" si="5"/>
        <v>SOUTHWEST SECONDARY LEARNING CENTER</v>
      </c>
    </row>
    <row r="163" spans="1:10" x14ac:dyDescent="0.25">
      <c r="A163" s="142" t="s">
        <v>735</v>
      </c>
      <c r="B163" s="142" t="s">
        <v>736</v>
      </c>
      <c r="C163" s="142" t="s">
        <v>257</v>
      </c>
      <c r="D163" s="142" t="s">
        <v>287</v>
      </c>
      <c r="E163" s="142" t="s">
        <v>737</v>
      </c>
      <c r="F163" s="143">
        <f t="shared" si="4"/>
        <v>121</v>
      </c>
      <c r="G163" s="143" t="str">
        <f>IFERROR(INDEX($A$2:$A$226,MATCH(ROWS($F$2:F163),$F$2:$F$226,0)),"")</f>
        <v>SPRINGER</v>
      </c>
      <c r="H163" s="144">
        <f>IF(ISERROR(SEARCH('CASH REPORT'!$C$1,$G163)),0,1)</f>
        <v>1</v>
      </c>
      <c r="I163" s="144">
        <f>IF($H163=0,"",COUNTIF($H$2:H163,1))</f>
        <v>162</v>
      </c>
      <c r="J163" s="144" t="str">
        <f t="shared" si="5"/>
        <v>SPRINGER</v>
      </c>
    </row>
    <row r="164" spans="1:10" x14ac:dyDescent="0.25">
      <c r="A164" s="142" t="s">
        <v>738</v>
      </c>
      <c r="B164" s="142" t="s">
        <v>739</v>
      </c>
      <c r="C164" s="142" t="s">
        <v>257</v>
      </c>
      <c r="D164" s="142" t="s">
        <v>250</v>
      </c>
      <c r="E164" s="142" t="s">
        <v>740</v>
      </c>
      <c r="F164" s="143">
        <f t="shared" si="4"/>
        <v>122</v>
      </c>
      <c r="G164" s="143" t="str">
        <f>IFERROR(INDEX($A$2:$A$226,MATCH(ROWS($F$2:F164),$F$2:$F$226,0)),"")</f>
        <v>SW AERONAUTICS, MATHEMATICS AND SCIENCE ACADEMY</v>
      </c>
      <c r="H164" s="144">
        <f>IF(ISERROR(SEARCH('CASH REPORT'!$C$1,$G164)),0,1)</f>
        <v>1</v>
      </c>
      <c r="I164" s="144">
        <f>IF($H164=0,"",COUNTIF($H$2:H164,1))</f>
        <v>163</v>
      </c>
      <c r="J164" s="144" t="str">
        <f t="shared" si="5"/>
        <v>SW AERONAUTICS, MATHEMATICS AND SCIENCE ACADEMY</v>
      </c>
    </row>
    <row r="165" spans="1:10" x14ac:dyDescent="0.25">
      <c r="A165" s="142" t="s">
        <v>741</v>
      </c>
      <c r="B165" s="142" t="s">
        <v>742</v>
      </c>
      <c r="C165" s="142" t="s">
        <v>249</v>
      </c>
      <c r="D165" s="142" t="s">
        <v>245</v>
      </c>
      <c r="E165" s="142" t="s">
        <v>743</v>
      </c>
      <c r="F165" s="143">
        <f t="shared" si="4"/>
        <v>123</v>
      </c>
      <c r="G165" s="143" t="str">
        <f>IFERROR(INDEX($A$2:$A$226,MATCH(ROWS($F$2:F165),$F$2:$F$226,0)),"")</f>
        <v>TAOS</v>
      </c>
      <c r="H165" s="144">
        <f>IF(ISERROR(SEARCH('CASH REPORT'!$C$1,$G165)),0,1)</f>
        <v>1</v>
      </c>
      <c r="I165" s="144">
        <f>IF($H165=0,"",COUNTIF($H$2:H165,1))</f>
        <v>164</v>
      </c>
      <c r="J165" s="144" t="str">
        <f t="shared" si="5"/>
        <v>TAOS</v>
      </c>
    </row>
    <row r="166" spans="1:10" x14ac:dyDescent="0.25">
      <c r="A166" s="142" t="s">
        <v>744</v>
      </c>
      <c r="B166" s="142" t="s">
        <v>745</v>
      </c>
      <c r="C166" s="142" t="s">
        <v>257</v>
      </c>
      <c r="D166" s="142" t="s">
        <v>250</v>
      </c>
      <c r="E166" s="142" t="s">
        <v>746</v>
      </c>
      <c r="F166" s="143">
        <f t="shared" si="4"/>
        <v>124</v>
      </c>
      <c r="G166" s="143" t="str">
        <f>IFERROR(INDEX($A$2:$A$226,MATCH(ROWS($F$2:F166),$F$2:$F$226,0)),"")</f>
        <v>TAOS ACADEMY</v>
      </c>
      <c r="H166" s="144">
        <f>IF(ISERROR(SEARCH('CASH REPORT'!$C$1,$G166)),0,1)</f>
        <v>1</v>
      </c>
      <c r="I166" s="144">
        <f>IF($H166=0,"",COUNTIF($H$2:H166,1))</f>
        <v>165</v>
      </c>
      <c r="J166" s="144" t="str">
        <f t="shared" si="5"/>
        <v>TAOS ACADEMY</v>
      </c>
    </row>
    <row r="167" spans="1:10" x14ac:dyDescent="0.25">
      <c r="A167" s="142" t="s">
        <v>747</v>
      </c>
      <c r="B167" s="142" t="s">
        <v>748</v>
      </c>
      <c r="C167" s="142" t="s">
        <v>257</v>
      </c>
      <c r="D167" s="142" t="s">
        <v>258</v>
      </c>
      <c r="E167" s="142" t="s">
        <v>749</v>
      </c>
      <c r="F167" s="143">
        <f t="shared" si="4"/>
        <v>125</v>
      </c>
      <c r="G167" s="143" t="str">
        <f>IFERROR(INDEX($A$2:$A$226,MATCH(ROWS($F$2:F167),$F$2:$F$226,0)),"")</f>
        <v>TAOS INTEGRATED SCHOOL OF ARTS ST.</v>
      </c>
      <c r="H167" s="144">
        <f>IF(ISERROR(SEARCH('CASH REPORT'!$C$1,$G167)),0,1)</f>
        <v>1</v>
      </c>
      <c r="I167" s="144">
        <f>IF($H167=0,"",COUNTIF($H$2:H167,1))</f>
        <v>166</v>
      </c>
      <c r="J167" s="144" t="str">
        <f t="shared" si="5"/>
        <v>TAOS INTEGRATED SCHOOL OF ARTS ST.</v>
      </c>
    </row>
    <row r="168" spans="1:10" x14ac:dyDescent="0.25">
      <c r="A168" s="142" t="s">
        <v>750</v>
      </c>
      <c r="B168" s="142" t="s">
        <v>751</v>
      </c>
      <c r="C168" s="142" t="s">
        <v>249</v>
      </c>
      <c r="D168" s="142" t="s">
        <v>245</v>
      </c>
      <c r="E168" s="142" t="s">
        <v>750</v>
      </c>
      <c r="F168" s="143">
        <f t="shared" si="4"/>
        <v>126</v>
      </c>
      <c r="G168" s="143" t="str">
        <f>IFERROR(INDEX($A$2:$A$226,MATCH(ROWS($F$2:F168),$F$2:$F$226,0)),"")</f>
        <v>TAOS INTERNATIONAL</v>
      </c>
      <c r="H168" s="144">
        <f>IF(ISERROR(SEARCH('CASH REPORT'!$C$1,$G168)),0,1)</f>
        <v>1</v>
      </c>
      <c r="I168" s="144">
        <f>IF($H168=0,"",COUNTIF($H$2:H168,1))</f>
        <v>167</v>
      </c>
      <c r="J168" s="144" t="str">
        <f t="shared" si="5"/>
        <v>TAOS INTERNATIONAL</v>
      </c>
    </row>
    <row r="169" spans="1:10" x14ac:dyDescent="0.25">
      <c r="A169" s="142" t="s">
        <v>752</v>
      </c>
      <c r="B169" s="142" t="s">
        <v>753</v>
      </c>
      <c r="C169" s="142" t="s">
        <v>257</v>
      </c>
      <c r="D169" s="142" t="s">
        <v>381</v>
      </c>
      <c r="E169" s="142" t="s">
        <v>754</v>
      </c>
      <c r="F169" s="143">
        <f t="shared" si="4"/>
        <v>128</v>
      </c>
      <c r="G169" s="143" t="str">
        <f>IFERROR(INDEX($A$2:$A$226,MATCH(ROWS($F$2:F169),$F$2:$F$226,0)),"")</f>
        <v>TAOS MUNICIPAL CHARTER</v>
      </c>
      <c r="H169" s="144">
        <f>IF(ISERROR(SEARCH('CASH REPORT'!$C$1,$G169)),0,1)</f>
        <v>1</v>
      </c>
      <c r="I169" s="144">
        <f>IF($H169=0,"",COUNTIF($H$2:H169,1))</f>
        <v>168</v>
      </c>
      <c r="J169" s="144" t="str">
        <f t="shared" si="5"/>
        <v>TAOS MUNICIPAL CHARTER</v>
      </c>
    </row>
    <row r="170" spans="1:10" x14ac:dyDescent="0.25">
      <c r="A170" s="142" t="s">
        <v>755</v>
      </c>
      <c r="B170" s="142" t="s">
        <v>756</v>
      </c>
      <c r="C170" s="142" t="s">
        <v>257</v>
      </c>
      <c r="D170" s="142" t="s">
        <v>287</v>
      </c>
      <c r="E170" s="142" t="s">
        <v>757</v>
      </c>
      <c r="F170" s="143">
        <f t="shared" si="4"/>
        <v>134</v>
      </c>
      <c r="G170" s="143" t="str">
        <f>IFERROR(INDEX($A$2:$A$226,MATCH(ROWS($F$2:F170),$F$2:$F$226,0)),"")</f>
        <v>TATUM</v>
      </c>
      <c r="H170" s="144">
        <f>IF(ISERROR(SEARCH('CASH REPORT'!$C$1,$G170)),0,1)</f>
        <v>1</v>
      </c>
      <c r="I170" s="144">
        <f>IF($H170=0,"",COUNTIF($H$2:H170,1))</f>
        <v>169</v>
      </c>
      <c r="J170" s="144" t="str">
        <f t="shared" si="5"/>
        <v>TATUM</v>
      </c>
    </row>
    <row r="171" spans="1:10" x14ac:dyDescent="0.25">
      <c r="A171" s="142" t="s">
        <v>758</v>
      </c>
      <c r="B171" s="142" t="s">
        <v>759</v>
      </c>
      <c r="C171" s="142" t="s">
        <v>257</v>
      </c>
      <c r="D171" s="142" t="s">
        <v>297</v>
      </c>
      <c r="E171" s="142" t="s">
        <v>760</v>
      </c>
      <c r="F171" s="143">
        <f t="shared" si="4"/>
        <v>136</v>
      </c>
      <c r="G171" s="143" t="str">
        <f>IFERROR(INDEX($A$2:$A$226,MATCH(ROWS($F$2:F171),$F$2:$F$226,0)),"")</f>
        <v>TECHNOLOGY LEADERSHIP</v>
      </c>
      <c r="H171" s="144">
        <f>IF(ISERROR(SEARCH('CASH REPORT'!$C$1,$G171)),0,1)</f>
        <v>1</v>
      </c>
      <c r="I171" s="144">
        <f>IF($H171=0,"",COUNTIF($H$2:H171,1))</f>
        <v>170</v>
      </c>
      <c r="J171" s="144" t="str">
        <f t="shared" si="5"/>
        <v>TECHNOLOGY LEADERSHIP</v>
      </c>
    </row>
    <row r="172" spans="1:10" x14ac:dyDescent="0.25">
      <c r="A172" s="142" t="s">
        <v>761</v>
      </c>
      <c r="B172" s="142" t="s">
        <v>762</v>
      </c>
      <c r="C172" s="142" t="s">
        <v>249</v>
      </c>
      <c r="D172" s="142" t="s">
        <v>583</v>
      </c>
      <c r="E172" s="142" t="s">
        <v>763</v>
      </c>
      <c r="F172" s="143">
        <f t="shared" si="4"/>
        <v>138</v>
      </c>
      <c r="G172" s="143" t="str">
        <f>IFERROR(INDEX($A$2:$A$226,MATCH(ROWS($F$2:F172),$F$2:$F$226,0)),"")</f>
        <v>TEXICO</v>
      </c>
      <c r="H172" s="144">
        <f>IF(ISERROR(SEARCH('CASH REPORT'!$C$1,$G172)),0,1)</f>
        <v>1</v>
      </c>
      <c r="I172" s="144">
        <f>IF($H172=0,"",COUNTIF($H$2:H172,1))</f>
        <v>171</v>
      </c>
      <c r="J172" s="144" t="str">
        <f t="shared" si="5"/>
        <v>TEXICO</v>
      </c>
    </row>
    <row r="173" spans="1:10" x14ac:dyDescent="0.25">
      <c r="A173" s="142" t="s">
        <v>764</v>
      </c>
      <c r="B173" s="142" t="s">
        <v>765</v>
      </c>
      <c r="C173" s="142" t="s">
        <v>257</v>
      </c>
      <c r="D173" s="146" t="s">
        <v>258</v>
      </c>
      <c r="E173" s="142" t="s">
        <v>766</v>
      </c>
      <c r="F173" s="143">
        <f t="shared" si="4"/>
        <v>139</v>
      </c>
      <c r="G173" s="143" t="str">
        <f>IFERROR(INDEX($A$2:$A$226,MATCH(ROWS($F$2:F173),$F$2:$F$226,0)),"")</f>
        <v>THE ALBUQUERQUE TALENT AND DEVELOPMENT ACAD</v>
      </c>
      <c r="H173" s="144">
        <f>IF(ISERROR(SEARCH('CASH REPORT'!$C$1,$G173)),0,1)</f>
        <v>1</v>
      </c>
      <c r="I173" s="144">
        <f>IF($H173=0,"",COUNTIF($H$2:H173,1))</f>
        <v>172</v>
      </c>
      <c r="J173" s="144" t="str">
        <f t="shared" si="5"/>
        <v>THE ALBUQUERQUE TALENT AND DEVELOPMENT ACAD</v>
      </c>
    </row>
    <row r="174" spans="1:10" x14ac:dyDescent="0.25">
      <c r="A174" s="142" t="s">
        <v>767</v>
      </c>
      <c r="B174" s="142" t="s">
        <v>768</v>
      </c>
      <c r="C174" s="142" t="s">
        <v>249</v>
      </c>
      <c r="D174" s="142" t="s">
        <v>245</v>
      </c>
      <c r="E174" s="142" t="s">
        <v>769</v>
      </c>
      <c r="F174" s="143">
        <f t="shared" si="4"/>
        <v>141</v>
      </c>
      <c r="G174" s="143" t="str">
        <f>IFERROR(INDEX($A$2:$A$226,MATCH(ROWS($F$2:F174),$F$2:$F$226,0)),"")</f>
        <v>THE GREAT ACADEMY</v>
      </c>
      <c r="H174" s="144">
        <f>IF(ISERROR(SEARCH('CASH REPORT'!$C$1,$G174)),0,1)</f>
        <v>1</v>
      </c>
      <c r="I174" s="144">
        <f>IF($H174=0,"",COUNTIF($H$2:H174,1))</f>
        <v>173</v>
      </c>
      <c r="J174" s="144" t="str">
        <f t="shared" si="5"/>
        <v>THE GREAT ACADEMY</v>
      </c>
    </row>
    <row r="175" spans="1:10" x14ac:dyDescent="0.25">
      <c r="A175" s="142" t="s">
        <v>770</v>
      </c>
      <c r="B175" s="142" t="s">
        <v>771</v>
      </c>
      <c r="C175" s="142" t="s">
        <v>257</v>
      </c>
      <c r="D175" s="142" t="s">
        <v>297</v>
      </c>
      <c r="E175" s="142" t="s">
        <v>772</v>
      </c>
      <c r="F175" s="143">
        <f t="shared" si="4"/>
        <v>142</v>
      </c>
      <c r="G175" s="143" t="str">
        <f>IFERROR(INDEX($A$2:$A$226,MATCH(ROWS($F$2:F175),$F$2:$F$226,0)),"")</f>
        <v>THRIVE COMMUNITY SCHOOL</v>
      </c>
      <c r="H175" s="144">
        <f>IF(ISERROR(SEARCH('CASH REPORT'!$C$1,$G175)),0,1)</f>
        <v>1</v>
      </c>
      <c r="I175" s="144">
        <f>IF($H175=0,"",COUNTIF($H$2:H175,1))</f>
        <v>174</v>
      </c>
      <c r="J175" s="144" t="str">
        <f t="shared" si="5"/>
        <v>THRIVE COMMUNITY SCHOOL</v>
      </c>
    </row>
    <row r="176" spans="1:10" x14ac:dyDescent="0.25">
      <c r="A176" s="142" t="s">
        <v>773</v>
      </c>
      <c r="B176" s="142" t="s">
        <v>774</v>
      </c>
      <c r="C176" s="142" t="s">
        <v>249</v>
      </c>
      <c r="D176" s="142" t="s">
        <v>301</v>
      </c>
      <c r="E176" s="142" t="s">
        <v>775</v>
      </c>
      <c r="F176" s="143">
        <f t="shared" si="4"/>
        <v>146</v>
      </c>
      <c r="G176" s="143" t="str">
        <f>IFERROR(INDEX($A$2:$A$226,MATCH(ROWS($F$2:F176),$F$2:$F$226,0)),"")</f>
        <v>TIERRA ADENTRO ST. CHARTER</v>
      </c>
      <c r="H176" s="144">
        <f>IF(ISERROR(SEARCH('CASH REPORT'!$C$1,$G176)),0,1)</f>
        <v>1</v>
      </c>
      <c r="I176" s="144">
        <f>IF($H176=0,"",COUNTIF($H$2:H176,1))</f>
        <v>175</v>
      </c>
      <c r="J176" s="144" t="str">
        <f t="shared" si="5"/>
        <v>TIERRA ADENTRO ST. CHARTER</v>
      </c>
    </row>
    <row r="177" spans="1:10" x14ac:dyDescent="0.25">
      <c r="A177" s="142" t="s">
        <v>776</v>
      </c>
      <c r="B177" s="142" t="s">
        <v>777</v>
      </c>
      <c r="C177" s="142" t="s">
        <v>257</v>
      </c>
      <c r="D177" s="142" t="s">
        <v>301</v>
      </c>
      <c r="E177" s="142" t="s">
        <v>778</v>
      </c>
      <c r="F177" s="143">
        <f t="shared" si="4"/>
        <v>148</v>
      </c>
      <c r="G177" s="143" t="str">
        <f>IFERROR(INDEX($A$2:$A$226,MATCH(ROWS($F$2:F177),$F$2:$F$226,0)),"")</f>
        <v>TIERRA ENCANTADA CHARTER</v>
      </c>
      <c r="H177" s="144">
        <f>IF(ISERROR(SEARCH('CASH REPORT'!$C$1,$G177)),0,1)</f>
        <v>1</v>
      </c>
      <c r="I177" s="144">
        <f>IF($H177=0,"",COUNTIF($H$2:H177,1))</f>
        <v>176</v>
      </c>
      <c r="J177" s="144" t="str">
        <f t="shared" si="5"/>
        <v>TIERRA ENCANTADA CHARTER</v>
      </c>
    </row>
    <row r="178" spans="1:10" x14ac:dyDescent="0.25">
      <c r="A178" s="142" t="s">
        <v>779</v>
      </c>
      <c r="B178" s="142" t="s">
        <v>780</v>
      </c>
      <c r="C178" s="142" t="s">
        <v>257</v>
      </c>
      <c r="D178" s="142" t="s">
        <v>544</v>
      </c>
      <c r="E178" s="142" t="s">
        <v>781</v>
      </c>
      <c r="F178" s="143">
        <f t="shared" si="4"/>
        <v>151</v>
      </c>
      <c r="G178" s="143" t="str">
        <f>IFERROR(INDEX($A$2:$A$226,MATCH(ROWS($F$2:F178),$F$2:$F$226,0)),"")</f>
        <v>TRUTH OR CONSEQ.</v>
      </c>
      <c r="H178" s="144">
        <f>IF(ISERROR(SEARCH('CASH REPORT'!$C$1,$G178)),0,1)</f>
        <v>1</v>
      </c>
      <c r="I178" s="144">
        <f>IF($H178=0,"",COUNTIF($H$2:H178,1))</f>
        <v>177</v>
      </c>
      <c r="J178" s="144" t="str">
        <f t="shared" si="5"/>
        <v>TRUTH OR CONSEQ.</v>
      </c>
    </row>
    <row r="179" spans="1:10" x14ac:dyDescent="0.25">
      <c r="A179" s="142" t="s">
        <v>782</v>
      </c>
      <c r="B179" s="142" t="s">
        <v>783</v>
      </c>
      <c r="C179" s="142" t="s">
        <v>249</v>
      </c>
      <c r="D179" s="142" t="s">
        <v>443</v>
      </c>
      <c r="E179" s="142" t="s">
        <v>784</v>
      </c>
      <c r="F179" s="143">
        <f t="shared" si="4"/>
        <v>152</v>
      </c>
      <c r="G179" s="143" t="str">
        <f>IFERROR(INDEX($A$2:$A$226,MATCH(ROWS($F$2:F179),$F$2:$F$226,0)),"")</f>
        <v>TUCUMCARI</v>
      </c>
      <c r="H179" s="144">
        <f>IF(ISERROR(SEARCH('CASH REPORT'!$C$1,$G179)),0,1)</f>
        <v>1</v>
      </c>
      <c r="I179" s="144">
        <f>IF($H179=0,"",COUNTIF($H$2:H179,1))</f>
        <v>178</v>
      </c>
      <c r="J179" s="144" t="str">
        <f t="shared" si="5"/>
        <v>TUCUMCARI</v>
      </c>
    </row>
    <row r="180" spans="1:10" x14ac:dyDescent="0.25">
      <c r="A180" s="142" t="s">
        <v>785</v>
      </c>
      <c r="B180" s="142" t="s">
        <v>786</v>
      </c>
      <c r="C180" s="142" t="s">
        <v>249</v>
      </c>
      <c r="D180" s="142" t="s">
        <v>245</v>
      </c>
      <c r="E180" s="142" t="s">
        <v>787</v>
      </c>
      <c r="F180" s="143">
        <f t="shared" si="4"/>
        <v>153</v>
      </c>
      <c r="G180" s="143" t="str">
        <f>IFERROR(INDEX($A$2:$A$226,MATCH(ROWS($F$2:F180),$F$2:$F$226,0)),"")</f>
        <v>TULAROSA</v>
      </c>
      <c r="H180" s="144">
        <f>IF(ISERROR(SEARCH('CASH REPORT'!$C$1,$G180)),0,1)</f>
        <v>1</v>
      </c>
      <c r="I180" s="144">
        <f>IF($H180=0,"",COUNTIF($H$2:H180,1))</f>
        <v>179</v>
      </c>
      <c r="J180" s="144" t="str">
        <f t="shared" si="5"/>
        <v>TULAROSA</v>
      </c>
    </row>
    <row r="181" spans="1:10" x14ac:dyDescent="0.25">
      <c r="A181" s="142" t="s">
        <v>788</v>
      </c>
      <c r="B181" s="142" t="s">
        <v>789</v>
      </c>
      <c r="C181" s="142" t="s">
        <v>257</v>
      </c>
      <c r="D181" s="142" t="s">
        <v>327</v>
      </c>
      <c r="E181" s="142" t="s">
        <v>790</v>
      </c>
      <c r="F181" s="143">
        <f t="shared" si="4"/>
        <v>155</v>
      </c>
      <c r="G181" s="143" t="str">
        <f>IFERROR(INDEX($A$2:$A$226,MATCH(ROWS($F$2:F181),$F$2:$F$226,0)),"")</f>
        <v>TURQUOISE TRAIL ELEMENTARY</v>
      </c>
      <c r="H181" s="144">
        <f>IF(ISERROR(SEARCH('CASH REPORT'!$C$1,$G181)),0,1)</f>
        <v>1</v>
      </c>
      <c r="I181" s="144">
        <f>IF($H181=0,"",COUNTIF($H$2:H181,1))</f>
        <v>180</v>
      </c>
      <c r="J181" s="144" t="str">
        <f t="shared" si="5"/>
        <v>TURQUOISE TRAIL ELEMENTARY</v>
      </c>
    </row>
    <row r="182" spans="1:10" x14ac:dyDescent="0.25">
      <c r="A182" s="142" t="s">
        <v>791</v>
      </c>
      <c r="B182" s="142" t="s">
        <v>792</v>
      </c>
      <c r="C182" s="142" t="s">
        <v>257</v>
      </c>
      <c r="D182" s="142" t="s">
        <v>258</v>
      </c>
      <c r="E182" s="142" t="s">
        <v>793</v>
      </c>
      <c r="F182" s="143">
        <f t="shared" si="4"/>
        <v>157</v>
      </c>
      <c r="G182" s="143" t="str">
        <f>IFERROR(INDEX($A$2:$A$226,MATCH(ROWS($F$2:F182),$F$2:$F$226,0)),"")</f>
        <v>Twenty First Century (21st CENTURY PUBLIC ACADEMY)</v>
      </c>
      <c r="H182" s="144">
        <f>IF(ISERROR(SEARCH('CASH REPORT'!$C$1,$G182)),0,1)</f>
        <v>1</v>
      </c>
      <c r="I182" s="144">
        <f>IF($H182=0,"",COUNTIF($H$2:H182,1))</f>
        <v>181</v>
      </c>
      <c r="J182" s="144" t="str">
        <f t="shared" si="5"/>
        <v>Twenty First Century (21st CENTURY PUBLIC ACADEMY)</v>
      </c>
    </row>
    <row r="183" spans="1:10" x14ac:dyDescent="0.25">
      <c r="A183" s="142" t="s">
        <v>794</v>
      </c>
      <c r="B183" s="142" t="s">
        <v>795</v>
      </c>
      <c r="C183" s="142" t="s">
        <v>249</v>
      </c>
      <c r="D183" s="142" t="s">
        <v>245</v>
      </c>
      <c r="E183" s="142" t="s">
        <v>796</v>
      </c>
      <c r="F183" s="143">
        <f t="shared" si="4"/>
        <v>158</v>
      </c>
      <c r="G183" s="143" t="str">
        <f>IFERROR(INDEX($A$2:$A$226,MATCH(ROWS($F$2:F183),$F$2:$F$226,0)),"")</f>
        <v>UNITED COMMUNITY ACADEMY</v>
      </c>
      <c r="H183" s="144">
        <f>IF(ISERROR(SEARCH('CASH REPORT'!$C$1,$G183)),0,1)</f>
        <v>1</v>
      </c>
      <c r="I183" s="144">
        <f>IF($H183=0,"",COUNTIF($H$2:H183,1))</f>
        <v>182</v>
      </c>
      <c r="J183" s="144" t="str">
        <f t="shared" si="5"/>
        <v>UNITED COMMUNITY ACADEMY</v>
      </c>
    </row>
    <row r="184" spans="1:10" x14ac:dyDescent="0.25">
      <c r="A184" s="142" t="s">
        <v>797</v>
      </c>
      <c r="B184" s="142" t="s">
        <v>798</v>
      </c>
      <c r="C184" s="142" t="s">
        <v>257</v>
      </c>
      <c r="D184" s="142" t="s">
        <v>258</v>
      </c>
      <c r="E184" s="142" t="s">
        <v>799</v>
      </c>
      <c r="F184" s="143">
        <f t="shared" si="4"/>
        <v>159</v>
      </c>
      <c r="G184" s="143" t="str">
        <f>IFERROR(INDEX($A$2:$A$226,MATCH(ROWS($F$2:F184),$F$2:$F$226,0)),"")</f>
        <v>VAUGHN</v>
      </c>
      <c r="H184" s="144">
        <f>IF(ISERROR(SEARCH('CASH REPORT'!$C$1,$G184)),0,1)</f>
        <v>1</v>
      </c>
      <c r="I184" s="144">
        <f>IF($H184=0,"",COUNTIF($H$2:H184,1))</f>
        <v>183</v>
      </c>
      <c r="J184" s="144" t="str">
        <f t="shared" si="5"/>
        <v>VAUGHN</v>
      </c>
    </row>
    <row r="185" spans="1:10" x14ac:dyDescent="0.25">
      <c r="A185" s="142" t="s">
        <v>800</v>
      </c>
      <c r="B185" s="142" t="s">
        <v>801</v>
      </c>
      <c r="C185" s="142" t="s">
        <v>257</v>
      </c>
      <c r="D185" s="142" t="s">
        <v>258</v>
      </c>
      <c r="E185" s="142" t="s">
        <v>802</v>
      </c>
      <c r="F185" s="143">
        <f t="shared" si="4"/>
        <v>160</v>
      </c>
      <c r="G185" s="143" t="str">
        <f>IFERROR(INDEX($A$2:$A$226,MATCH(ROWS($F$2:F185),$F$2:$F$226,0)),"")</f>
        <v>VISTA GRANDE</v>
      </c>
      <c r="H185" s="144">
        <f>IF(ISERROR(SEARCH('CASH REPORT'!$C$1,$G185)),0,1)</f>
        <v>1</v>
      </c>
      <c r="I185" s="144">
        <f>IF($H185=0,"",COUNTIF($H$2:H185,1))</f>
        <v>184</v>
      </c>
      <c r="J185" s="144" t="str">
        <f t="shared" si="5"/>
        <v>VISTA GRANDE</v>
      </c>
    </row>
    <row r="186" spans="1:10" x14ac:dyDescent="0.25">
      <c r="A186" s="142" t="s">
        <v>803</v>
      </c>
      <c r="B186" s="142" t="s">
        <v>804</v>
      </c>
      <c r="C186" s="142" t="s">
        <v>257</v>
      </c>
      <c r="D186" s="142" t="s">
        <v>258</v>
      </c>
      <c r="E186" s="142" t="s">
        <v>805</v>
      </c>
      <c r="F186" s="143">
        <f t="shared" si="4"/>
        <v>161</v>
      </c>
      <c r="G186" s="143" t="str">
        <f>IFERROR(INDEX($A$2:$A$226,MATCH(ROWS($F$2:F186),$F$2:$F$226,0)),"")</f>
        <v>VOZ COLLEGIATE PREPARATORY CHARTER SCHOOL</v>
      </c>
      <c r="H186" s="144">
        <f>IF(ISERROR(SEARCH('CASH REPORT'!$C$1,$G186)),0,1)</f>
        <v>1</v>
      </c>
      <c r="I186" s="144">
        <f>IF($H186=0,"",COUNTIF($H$2:H186,1))</f>
        <v>185</v>
      </c>
      <c r="J186" s="144" t="str">
        <f t="shared" si="5"/>
        <v>VOZ COLLEGIATE PREPARATORY CHARTER SCHOOL</v>
      </c>
    </row>
    <row r="187" spans="1:10" x14ac:dyDescent="0.25">
      <c r="A187" s="142" t="s">
        <v>806</v>
      </c>
      <c r="B187" s="142" t="s">
        <v>807</v>
      </c>
      <c r="C187" s="142" t="s">
        <v>257</v>
      </c>
      <c r="D187" s="142" t="s">
        <v>258</v>
      </c>
      <c r="E187" s="142" t="s">
        <v>808</v>
      </c>
      <c r="F187" s="143">
        <f t="shared" si="4"/>
        <v>163</v>
      </c>
      <c r="G187" s="143" t="str">
        <f>IFERROR(INDEX($A$2:$A$226,MATCH(ROWS($F$2:F187),$F$2:$F$226,0)),"")</f>
        <v>WAGON MOUND</v>
      </c>
      <c r="H187" s="144">
        <f>IF(ISERROR(SEARCH('CASH REPORT'!$C$1,$G187)),0,1)</f>
        <v>1</v>
      </c>
      <c r="I187" s="144">
        <f>IF($H187=0,"",COUNTIF($H$2:H187,1))</f>
        <v>186</v>
      </c>
      <c r="J187" s="144" t="str">
        <f t="shared" si="5"/>
        <v>WAGON MOUND</v>
      </c>
    </row>
    <row r="188" spans="1:10" x14ac:dyDescent="0.25">
      <c r="A188" s="142" t="s">
        <v>809</v>
      </c>
      <c r="B188" s="142" t="s">
        <v>810</v>
      </c>
      <c r="C188" s="142" t="s">
        <v>257</v>
      </c>
      <c r="D188" s="142" t="s">
        <v>297</v>
      </c>
      <c r="E188" s="142" t="s">
        <v>811</v>
      </c>
      <c r="F188" s="143">
        <f t="shared" si="4"/>
        <v>165</v>
      </c>
      <c r="G188" s="143" t="str">
        <f>IFERROR(INDEX($A$2:$A$226,MATCH(ROWS($F$2:F188),$F$2:$F$226,0)),"")</f>
        <v>WALATOWA CHARTER HIGH SCHOOL</v>
      </c>
      <c r="H188" s="144">
        <f>IF(ISERROR(SEARCH('CASH REPORT'!$C$1,$G188)),0,1)</f>
        <v>1</v>
      </c>
      <c r="I188" s="144">
        <f>IF($H188=0,"",COUNTIF($H$2:H188,1))</f>
        <v>187</v>
      </c>
      <c r="J188" s="144" t="str">
        <f t="shared" si="5"/>
        <v>WALATOWA CHARTER HIGH SCHOOL</v>
      </c>
    </row>
    <row r="189" spans="1:10" x14ac:dyDescent="0.25">
      <c r="A189" s="142" t="s">
        <v>812</v>
      </c>
      <c r="B189" s="142" t="s">
        <v>813</v>
      </c>
      <c r="C189" s="142" t="s">
        <v>257</v>
      </c>
      <c r="D189" s="142" t="s">
        <v>297</v>
      </c>
      <c r="E189" s="142" t="s">
        <v>814</v>
      </c>
      <c r="F189" s="143">
        <f t="shared" si="4"/>
        <v>166</v>
      </c>
      <c r="G189" s="143" t="str">
        <f>IFERROR(INDEX($A$2:$A$226,MATCH(ROWS($F$2:F189),$F$2:$F$226,0)),"")</f>
        <v>WEST LAS VEGAS</v>
      </c>
      <c r="H189" s="144">
        <f>IF(ISERROR(SEARCH('CASH REPORT'!$C$1,$G189)),0,1)</f>
        <v>1</v>
      </c>
      <c r="I189" s="144">
        <f>IF($H189=0,"",COUNTIF($H$2:H189,1))</f>
        <v>188</v>
      </c>
      <c r="J189" s="144" t="str">
        <f t="shared" si="5"/>
        <v>WEST LAS VEGAS</v>
      </c>
    </row>
    <row r="190" spans="1:10" x14ac:dyDescent="0.25">
      <c r="A190" s="142" t="s">
        <v>815</v>
      </c>
      <c r="B190" s="142" t="s">
        <v>816</v>
      </c>
      <c r="C190" s="142" t="s">
        <v>257</v>
      </c>
      <c r="D190" s="142" t="s">
        <v>297</v>
      </c>
      <c r="E190" s="142" t="s">
        <v>817</v>
      </c>
      <c r="F190" s="143">
        <f t="shared" si="4"/>
        <v>167</v>
      </c>
      <c r="G190" s="143" t="str">
        <f>IFERROR(INDEX($A$2:$A$226,MATCH(ROWS($F$2:F190),$F$2:$F$226,0)),"")</f>
        <v>WILLIAM W &amp; JOSEPHINE DORN CHARTER</v>
      </c>
      <c r="H190" s="144">
        <f>IF(ISERROR(SEARCH('CASH REPORT'!$C$1,$G190)),0,1)</f>
        <v>1</v>
      </c>
      <c r="I190" s="144">
        <f>IF($H190=0,"",COUNTIF($H$2:H190,1))</f>
        <v>189</v>
      </c>
      <c r="J190" s="144" t="str">
        <f t="shared" si="5"/>
        <v>WILLIAM W &amp; JOSEPHINE DORN CHARTER</v>
      </c>
    </row>
    <row r="191" spans="1:10" x14ac:dyDescent="0.25">
      <c r="A191" s="142" t="s">
        <v>818</v>
      </c>
      <c r="B191" s="142" t="s">
        <v>819</v>
      </c>
      <c r="C191" s="142" t="s">
        <v>249</v>
      </c>
      <c r="D191" s="142" t="s">
        <v>297</v>
      </c>
      <c r="E191" s="142" t="s">
        <v>820</v>
      </c>
      <c r="F191" s="143">
        <f t="shared" si="4"/>
        <v>168</v>
      </c>
      <c r="G191" s="143" t="str">
        <f>IFERROR(INDEX($A$2:$A$226,MATCH(ROWS($F$2:F191),$F$2:$F$226,0)),"")</f>
        <v>ZUNI</v>
      </c>
      <c r="H191" s="144">
        <f>IF(ISERROR(SEARCH('CASH REPORT'!$C$1,$G191)),0,1)</f>
        <v>1</v>
      </c>
      <c r="I191" s="144">
        <f>IF($H191=0,"",COUNTIF($H$2:H191,1))</f>
        <v>190</v>
      </c>
      <c r="J191" s="144" t="str">
        <f t="shared" si="5"/>
        <v>ZUNI</v>
      </c>
    </row>
    <row r="192" spans="1:10" x14ac:dyDescent="0.25">
      <c r="A192" s="142" t="s">
        <v>821</v>
      </c>
      <c r="B192" s="142" t="s">
        <v>822</v>
      </c>
      <c r="C192" s="142" t="s">
        <v>249</v>
      </c>
      <c r="D192" s="142" t="s">
        <v>245</v>
      </c>
      <c r="E192" s="142" t="s">
        <v>823</v>
      </c>
      <c r="F192" s="143">
        <f t="shared" si="4"/>
        <v>170</v>
      </c>
      <c r="G192" s="143" t="str">
        <f>IFERROR(INDEX($A$2:$A$226,MATCH(ROWS($F$2:F192),$F$2:$F$226,0)),"")</f>
        <v/>
      </c>
      <c r="H192" s="144">
        <f>IF(ISERROR(SEARCH('CASH REPORT'!$C$1,$G192)),0,1)</f>
        <v>0</v>
      </c>
      <c r="I192" s="144" t="str">
        <f>IF($H192=0,"",COUNTIF($H$2:H192,1))</f>
        <v/>
      </c>
      <c r="J192" s="144" t="str">
        <f t="shared" si="5"/>
        <v/>
      </c>
    </row>
    <row r="193" spans="1:10" x14ac:dyDescent="0.25">
      <c r="A193" s="142" t="s">
        <v>824</v>
      </c>
      <c r="B193" s="142" t="s">
        <v>825</v>
      </c>
      <c r="C193" s="142" t="s">
        <v>249</v>
      </c>
      <c r="D193" s="142" t="s">
        <v>245</v>
      </c>
      <c r="E193" s="142" t="s">
        <v>826</v>
      </c>
      <c r="F193" s="143">
        <f t="shared" si="4"/>
        <v>172</v>
      </c>
      <c r="G193" s="143" t="str">
        <f>IFERROR(INDEX($A$2:$A$226,MATCH(ROWS($F$2:F193),$F$2:$F$226,0)),"")</f>
        <v/>
      </c>
      <c r="H193" s="144">
        <f>IF(ISERROR(SEARCH('CASH REPORT'!$C$1,$G193)),0,1)</f>
        <v>0</v>
      </c>
      <c r="I193" s="144" t="str">
        <f>IF($H193=0,"",COUNTIF($H$2:H193,1))</f>
        <v/>
      </c>
      <c r="J193" s="144" t="str">
        <f t="shared" si="5"/>
        <v/>
      </c>
    </row>
    <row r="194" spans="1:10" x14ac:dyDescent="0.25">
      <c r="A194" s="142" t="s">
        <v>827</v>
      </c>
      <c r="B194" s="142" t="s">
        <v>828</v>
      </c>
      <c r="C194" s="142" t="s">
        <v>257</v>
      </c>
      <c r="D194" s="142" t="s">
        <v>258</v>
      </c>
      <c r="E194" s="142" t="s">
        <v>829</v>
      </c>
      <c r="F194" s="143">
        <f t="shared" si="4"/>
        <v>173</v>
      </c>
      <c r="G194" s="143" t="str">
        <f>IFERROR(INDEX($A$2:$A$226,MATCH(ROWS($F$2:F194),$F$2:$F$226,0)),"")</f>
        <v/>
      </c>
      <c r="H194" s="144">
        <f>IF(ISERROR(SEARCH('CASH REPORT'!$C$1,$G194)),0,1)</f>
        <v>0</v>
      </c>
      <c r="I194" s="144" t="str">
        <f>IF($H194=0,"",COUNTIF($H$2:H194,1))</f>
        <v/>
      </c>
      <c r="J194" s="144" t="str">
        <f t="shared" si="5"/>
        <v/>
      </c>
    </row>
    <row r="195" spans="1:10" x14ac:dyDescent="0.25">
      <c r="A195" s="142" t="s">
        <v>830</v>
      </c>
      <c r="B195" s="142" t="s">
        <v>831</v>
      </c>
      <c r="C195" s="142" t="s">
        <v>257</v>
      </c>
      <c r="D195" s="146" t="s">
        <v>250</v>
      </c>
      <c r="E195" s="142" t="s">
        <v>832</v>
      </c>
      <c r="F195" s="143">
        <f t="shared" ref="F195:F257" si="6">COUNTIF($A$2:$A$226,"&lt;="&amp;A195)</f>
        <v>174</v>
      </c>
      <c r="G195" s="143" t="str">
        <f>IFERROR(INDEX($A$2:$A$226,MATCH(ROWS($F$2:F195),$F$2:$F$226,0)),"")</f>
        <v/>
      </c>
      <c r="H195" s="144">
        <f>IF(ISERROR(SEARCH('CASH REPORT'!$C$1,$G195)),0,1)</f>
        <v>0</v>
      </c>
      <c r="I195" s="144" t="str">
        <f>IF($H195=0,"",COUNTIF($H$2:H195,1))</f>
        <v/>
      </c>
      <c r="J195" s="144" t="str">
        <f t="shared" ref="J195:J257" si="7">IFERROR(INDEX(G194:G419,MATCH(ROW(I194),I194:I419,0)),"")</f>
        <v/>
      </c>
    </row>
    <row r="196" spans="1:10" x14ac:dyDescent="0.25">
      <c r="A196" s="142" t="s">
        <v>833</v>
      </c>
      <c r="B196" s="142" t="s">
        <v>834</v>
      </c>
      <c r="C196" s="142" t="s">
        <v>257</v>
      </c>
      <c r="D196" s="142" t="s">
        <v>258</v>
      </c>
      <c r="E196" s="142" t="s">
        <v>835</v>
      </c>
      <c r="F196" s="143">
        <f t="shared" si="6"/>
        <v>175</v>
      </c>
      <c r="G196" s="143" t="str">
        <f>IFERROR(INDEX($A$2:$A$226,MATCH(ROWS($F$2:F196),$F$2:$F$226,0)),"")</f>
        <v/>
      </c>
      <c r="H196" s="144">
        <f>IF(ISERROR(SEARCH('CASH REPORT'!$C$1,$G196)),0,1)</f>
        <v>0</v>
      </c>
      <c r="I196" s="144" t="str">
        <f>IF($H196=0,"",COUNTIF($H$2:H196,1))</f>
        <v/>
      </c>
      <c r="J196" s="144" t="str">
        <f t="shared" si="7"/>
        <v/>
      </c>
    </row>
    <row r="197" spans="1:10" x14ac:dyDescent="0.25">
      <c r="A197" s="142" t="s">
        <v>836</v>
      </c>
      <c r="B197" s="142" t="s">
        <v>837</v>
      </c>
      <c r="C197" s="142" t="s">
        <v>257</v>
      </c>
      <c r="D197" s="142" t="s">
        <v>250</v>
      </c>
      <c r="E197" s="142" t="s">
        <v>838</v>
      </c>
      <c r="F197" s="143">
        <f t="shared" si="6"/>
        <v>176</v>
      </c>
      <c r="G197" s="143" t="str">
        <f>IFERROR(INDEX($A$2:$A$226,MATCH(ROWS($F$2:F197),$F$2:$F$226,0)),"")</f>
        <v/>
      </c>
      <c r="H197" s="144">
        <f>IF(ISERROR(SEARCH('CASH REPORT'!$C$1,$G197)),0,1)</f>
        <v>0</v>
      </c>
      <c r="I197" s="144" t="str">
        <f>IF($H197=0,"",COUNTIF($H$2:H197,1))</f>
        <v/>
      </c>
      <c r="J197" s="144" t="str">
        <f t="shared" si="7"/>
        <v/>
      </c>
    </row>
    <row r="198" spans="1:10" x14ac:dyDescent="0.25">
      <c r="A198" s="142" t="s">
        <v>839</v>
      </c>
      <c r="B198" s="142" t="s">
        <v>840</v>
      </c>
      <c r="C198" s="142" t="s">
        <v>257</v>
      </c>
      <c r="D198" s="142" t="s">
        <v>250</v>
      </c>
      <c r="E198" s="142" t="s">
        <v>841</v>
      </c>
      <c r="F198" s="143">
        <f t="shared" si="6"/>
        <v>180</v>
      </c>
      <c r="G198" s="143" t="str">
        <f>IFERROR(INDEX($A$2:$A$226,MATCH(ROWS($F$2:F198),$F$2:$F$226,0)),"")</f>
        <v/>
      </c>
      <c r="H198" s="144">
        <f>IF(ISERROR(SEARCH('CASH REPORT'!$C$1,$G198)),0,1)</f>
        <v>0</v>
      </c>
      <c r="I198" s="144" t="str">
        <f>IF($H198=0,"",COUNTIF($H$2:H198,1))</f>
        <v/>
      </c>
      <c r="J198" s="144" t="str">
        <f t="shared" si="7"/>
        <v/>
      </c>
    </row>
    <row r="199" spans="1:10" x14ac:dyDescent="0.25">
      <c r="A199" s="142" t="s">
        <v>842</v>
      </c>
      <c r="B199" s="142" t="s">
        <v>843</v>
      </c>
      <c r="C199" s="142" t="s">
        <v>257</v>
      </c>
      <c r="D199" s="142" t="s">
        <v>258</v>
      </c>
      <c r="E199" s="142" t="s">
        <v>844</v>
      </c>
      <c r="F199" s="143">
        <f t="shared" si="6"/>
        <v>181</v>
      </c>
      <c r="G199" s="143" t="str">
        <f>IFERROR(INDEX($A$2:$A$226,MATCH(ROWS($F$2:F199),$F$2:$F$226,0)),"")</f>
        <v/>
      </c>
      <c r="H199" s="144">
        <f>IF(ISERROR(SEARCH('CASH REPORT'!$C$1,$G199)),0,1)</f>
        <v>0</v>
      </c>
      <c r="I199" s="144" t="str">
        <f>IF($H199=0,"",COUNTIF($H$2:H199,1))</f>
        <v/>
      </c>
      <c r="J199" s="144" t="str">
        <f t="shared" si="7"/>
        <v/>
      </c>
    </row>
    <row r="200" spans="1:10" x14ac:dyDescent="0.25">
      <c r="A200" s="142" t="s">
        <v>845</v>
      </c>
      <c r="B200" s="142" t="s">
        <v>846</v>
      </c>
      <c r="C200" s="142" t="s">
        <v>249</v>
      </c>
      <c r="D200" s="146" t="s">
        <v>258</v>
      </c>
      <c r="E200" s="142" t="s">
        <v>847</v>
      </c>
      <c r="F200" s="143">
        <f t="shared" si="6"/>
        <v>182</v>
      </c>
      <c r="G200" s="143" t="str">
        <f>IFERROR(INDEX($A$2:$A$226,MATCH(ROWS($F$2:F200),$F$2:$F$226,0)),"")</f>
        <v/>
      </c>
      <c r="H200" s="144">
        <f>IF(ISERROR(SEARCH('CASH REPORT'!$C$1,$G200)),0,1)</f>
        <v>0</v>
      </c>
      <c r="I200" s="144" t="str">
        <f>IF($H200=0,"",COUNTIF($H$2:H200,1))</f>
        <v/>
      </c>
      <c r="J200" s="144" t="str">
        <f t="shared" si="7"/>
        <v/>
      </c>
    </row>
    <row r="201" spans="1:10" x14ac:dyDescent="0.25">
      <c r="A201" s="142" t="s">
        <v>848</v>
      </c>
      <c r="B201" s="142" t="s">
        <v>849</v>
      </c>
      <c r="C201" s="142" t="s">
        <v>257</v>
      </c>
      <c r="D201" s="142" t="s">
        <v>297</v>
      </c>
      <c r="E201" s="142" t="s">
        <v>850</v>
      </c>
      <c r="F201" s="143">
        <f t="shared" si="6"/>
        <v>184</v>
      </c>
      <c r="G201" s="143" t="str">
        <f>IFERROR(INDEX($A$2:$A$226,MATCH(ROWS($F$2:F201),$F$2:$F$226,0)),"")</f>
        <v/>
      </c>
      <c r="H201" s="144">
        <f>IF(ISERROR(SEARCH('CASH REPORT'!$C$1,$G201)),0,1)</f>
        <v>0</v>
      </c>
      <c r="I201" s="144" t="str">
        <f>IF($H201=0,"",COUNTIF($H$2:H201,1))</f>
        <v/>
      </c>
      <c r="J201" s="144" t="str">
        <f t="shared" si="7"/>
        <v/>
      </c>
    </row>
    <row r="202" spans="1:10" x14ac:dyDescent="0.25">
      <c r="A202" s="145" t="s">
        <v>851</v>
      </c>
      <c r="B202" s="145" t="s">
        <v>852</v>
      </c>
      <c r="C202" s="145" t="s">
        <v>249</v>
      </c>
      <c r="D202" s="145" t="s">
        <v>245</v>
      </c>
      <c r="E202" s="142" t="s">
        <v>853</v>
      </c>
      <c r="F202" s="143">
        <f t="shared" si="6"/>
        <v>185</v>
      </c>
      <c r="G202" s="143" t="str">
        <f>IFERROR(INDEX($A$2:$A$226,MATCH(ROWS($F$2:F202),$F$2:$F$226,0)),"")</f>
        <v/>
      </c>
      <c r="H202" s="144">
        <f>IF(ISERROR(SEARCH('CASH REPORT'!$C$1,$G202)),0,1)</f>
        <v>0</v>
      </c>
      <c r="I202" s="144" t="str">
        <f>IF($H202=0,"",COUNTIF($H$2:H202,1))</f>
        <v/>
      </c>
      <c r="J202" s="144" t="str">
        <f t="shared" si="7"/>
        <v/>
      </c>
    </row>
    <row r="203" spans="1:10" x14ac:dyDescent="0.25">
      <c r="A203" s="142" t="s">
        <v>854</v>
      </c>
      <c r="B203" s="142" t="s">
        <v>855</v>
      </c>
      <c r="C203" s="142" t="s">
        <v>257</v>
      </c>
      <c r="D203" s="142" t="s">
        <v>301</v>
      </c>
      <c r="E203" s="142" t="s">
        <v>856</v>
      </c>
      <c r="F203" s="143">
        <f t="shared" si="6"/>
        <v>187</v>
      </c>
      <c r="G203" s="143" t="str">
        <f>IFERROR(INDEX($A$2:$A$226,MATCH(ROWS($F$2:F203),$F$2:$F$226,0)),"")</f>
        <v/>
      </c>
      <c r="H203" s="144">
        <f>IF(ISERROR(SEARCH('CASH REPORT'!$C$1,$G203)),0,1)</f>
        <v>0</v>
      </c>
      <c r="I203" s="144" t="str">
        <f>IF($H203=0,"",COUNTIF($H$2:H203,1))</f>
        <v/>
      </c>
      <c r="J203" s="144" t="str">
        <f t="shared" si="7"/>
        <v/>
      </c>
    </row>
    <row r="204" spans="1:10" x14ac:dyDescent="0.25">
      <c r="A204" s="142" t="s">
        <v>857</v>
      </c>
      <c r="B204" s="142" t="s">
        <v>858</v>
      </c>
      <c r="C204" s="142" t="s">
        <v>249</v>
      </c>
      <c r="D204" s="142" t="s">
        <v>245</v>
      </c>
      <c r="E204" s="142" t="s">
        <v>859</v>
      </c>
      <c r="F204" s="143">
        <f t="shared" si="6"/>
        <v>189</v>
      </c>
      <c r="G204" s="143" t="str">
        <f>IFERROR(INDEX($A$2:$A$226,MATCH(ROWS($F$2:F204),$F$2:$F$226,0)),"")</f>
        <v/>
      </c>
      <c r="H204" s="144">
        <f>IF(ISERROR(SEARCH('CASH REPORT'!$C$1,$G204)),0,1)</f>
        <v>0</v>
      </c>
      <c r="I204" s="144" t="str">
        <f>IF($H204=0,"",COUNTIF($H$2:H204,1))</f>
        <v/>
      </c>
      <c r="J204" s="144" t="str">
        <f t="shared" si="7"/>
        <v/>
      </c>
    </row>
    <row r="205" spans="1:10" x14ac:dyDescent="0.25">
      <c r="A205" s="142"/>
      <c r="B205" s="142"/>
      <c r="C205" s="142"/>
      <c r="D205" s="142"/>
      <c r="E205" s="142"/>
      <c r="F205" s="143">
        <f t="shared" si="6"/>
        <v>0</v>
      </c>
      <c r="G205" s="143" t="str">
        <f>IFERROR(INDEX($A$2:$A$226,MATCH(ROWS($F$2:F205),$F$2:$F$226,0)),"")</f>
        <v/>
      </c>
      <c r="H205" s="144">
        <f>IF(ISERROR(SEARCH('CASH REPORT'!$C$1,$G205)),0,1)</f>
        <v>0</v>
      </c>
      <c r="I205" s="144" t="str">
        <f>IF($H205=0,"",COUNTIF($H$2:H205,1))</f>
        <v/>
      </c>
      <c r="J205" s="144" t="str">
        <f t="shared" si="7"/>
        <v/>
      </c>
    </row>
    <row r="206" spans="1:10" x14ac:dyDescent="0.25">
      <c r="A206" s="142"/>
      <c r="B206" s="142"/>
      <c r="C206" s="142"/>
      <c r="D206" s="142"/>
      <c r="E206" s="142"/>
      <c r="F206" s="143">
        <f t="shared" si="6"/>
        <v>0</v>
      </c>
      <c r="G206" s="143" t="str">
        <f>IFERROR(INDEX($A$2:$A$226,MATCH(ROWS($F$2:F206),$F$2:$F$226,0)),"")</f>
        <v/>
      </c>
      <c r="H206" s="144">
        <f>IF(ISERROR(SEARCH('CASH REPORT'!$C$1,$G206)),0,1)</f>
        <v>0</v>
      </c>
      <c r="I206" s="144" t="str">
        <f>IF($H206=0,"",COUNTIF($H$2:H206,1))</f>
        <v/>
      </c>
      <c r="J206" s="144" t="str">
        <f t="shared" si="7"/>
        <v/>
      </c>
    </row>
    <row r="207" spans="1:10" x14ac:dyDescent="0.25">
      <c r="A207" s="142"/>
      <c r="B207" s="142"/>
      <c r="C207" s="142"/>
      <c r="D207" s="142"/>
      <c r="E207" s="142"/>
      <c r="F207" s="143">
        <f t="shared" si="6"/>
        <v>0</v>
      </c>
      <c r="G207" s="143" t="str">
        <f>IFERROR(INDEX($A$2:$A$226,MATCH(ROWS($F$2:F207),$F$2:$F$226,0)),"")</f>
        <v/>
      </c>
      <c r="H207" s="144">
        <f>IF(ISERROR(SEARCH('CASH REPORT'!$C$1,$G207)),0,1)</f>
        <v>0</v>
      </c>
      <c r="I207" s="144" t="str">
        <f>IF($H207=0,"",COUNTIF($H$2:H207,1))</f>
        <v/>
      </c>
      <c r="J207" s="144" t="str">
        <f t="shared" si="7"/>
        <v/>
      </c>
    </row>
    <row r="208" spans="1:10" x14ac:dyDescent="0.25">
      <c r="A208" s="142"/>
      <c r="B208" s="142"/>
      <c r="C208" s="142"/>
      <c r="D208" s="142"/>
      <c r="E208" s="142"/>
      <c r="F208" s="143">
        <f t="shared" si="6"/>
        <v>0</v>
      </c>
      <c r="G208" s="143" t="str">
        <f>IFERROR(INDEX($A$2:$A$226,MATCH(ROWS($F$2:F208),$F$2:$F$226,0)),"")</f>
        <v/>
      </c>
      <c r="H208" s="144">
        <f>IF(ISERROR(SEARCH('CASH REPORT'!$C$1,$G208)),0,1)</f>
        <v>0</v>
      </c>
      <c r="I208" s="144" t="str">
        <f>IF($H208=0,"",COUNTIF($H$2:H208,1))</f>
        <v/>
      </c>
      <c r="J208" s="144" t="str">
        <f t="shared" si="7"/>
        <v/>
      </c>
    </row>
    <row r="209" spans="1:10" x14ac:dyDescent="0.25">
      <c r="A209" s="142"/>
      <c r="B209" s="142"/>
      <c r="C209" s="142"/>
      <c r="D209" s="142"/>
      <c r="E209" s="142"/>
      <c r="F209" s="143">
        <f t="shared" si="6"/>
        <v>0</v>
      </c>
      <c r="G209" s="143" t="str">
        <f>IFERROR(INDEX($A$2:$A$226,MATCH(ROWS($F$2:F209),$F$2:$F$226,0)),"")</f>
        <v/>
      </c>
      <c r="H209" s="144">
        <f>IF(ISERROR(SEARCH('CASH REPORT'!$C$1,$G209)),0,1)</f>
        <v>0</v>
      </c>
      <c r="I209" s="144" t="str">
        <f>IF($H209=0,"",COUNTIF($H$2:H209,1))</f>
        <v/>
      </c>
      <c r="J209" s="144" t="str">
        <f t="shared" si="7"/>
        <v/>
      </c>
    </row>
    <row r="210" spans="1:10" x14ac:dyDescent="0.25">
      <c r="A210" s="142"/>
      <c r="B210" s="142"/>
      <c r="C210" s="142"/>
      <c r="D210" s="142"/>
      <c r="E210" s="142"/>
      <c r="F210" s="143">
        <f t="shared" si="6"/>
        <v>0</v>
      </c>
      <c r="G210" s="143" t="str">
        <f>IFERROR(INDEX($A$2:$A$226,MATCH(ROWS($F$2:F210),$F$2:$F$226,0)),"")</f>
        <v/>
      </c>
      <c r="H210" s="144">
        <f>IF(ISERROR(SEARCH('CASH REPORT'!$C$1,$G210)),0,1)</f>
        <v>0</v>
      </c>
      <c r="I210" s="144" t="str">
        <f>IF($H210=0,"",COUNTIF($H$2:H210,1))</f>
        <v/>
      </c>
      <c r="J210" s="144" t="str">
        <f t="shared" si="7"/>
        <v/>
      </c>
    </row>
    <row r="211" spans="1:10" x14ac:dyDescent="0.25">
      <c r="A211" s="142"/>
      <c r="B211" s="142"/>
      <c r="C211" s="142"/>
      <c r="D211" s="142"/>
      <c r="E211" s="142"/>
      <c r="F211" s="143">
        <f t="shared" si="6"/>
        <v>0</v>
      </c>
      <c r="G211" s="143" t="str">
        <f>IFERROR(INDEX($A$2:$A$226,MATCH(ROWS($F$2:F211),$F$2:$F$226,0)),"")</f>
        <v/>
      </c>
      <c r="H211" s="144">
        <f>IF(ISERROR(SEARCH('CASH REPORT'!$C$1,$G211)),0,1)</f>
        <v>0</v>
      </c>
      <c r="I211" s="144" t="str">
        <f>IF($H211=0,"",COUNTIF($H$2:H211,1))</f>
        <v/>
      </c>
      <c r="J211" s="144" t="str">
        <f t="shared" si="7"/>
        <v/>
      </c>
    </row>
    <row r="212" spans="1:10" x14ac:dyDescent="0.25">
      <c r="A212" s="142"/>
      <c r="B212" s="142"/>
      <c r="C212" s="142"/>
      <c r="D212" s="142"/>
      <c r="E212" s="142"/>
      <c r="F212" s="143">
        <f t="shared" si="6"/>
        <v>0</v>
      </c>
      <c r="G212" s="143" t="str">
        <f>IFERROR(INDEX($A$2:$A$226,MATCH(ROWS($F$2:F212),$F$2:$F$226,0)),"")</f>
        <v/>
      </c>
      <c r="H212" s="144">
        <f>IF(ISERROR(SEARCH('CASH REPORT'!$C$1,$G212)),0,1)</f>
        <v>0</v>
      </c>
      <c r="I212" s="144" t="str">
        <f>IF($H212=0,"",COUNTIF($H$2:H212,1))</f>
        <v/>
      </c>
      <c r="J212" s="144" t="str">
        <f t="shared" si="7"/>
        <v/>
      </c>
    </row>
    <row r="213" spans="1:10" x14ac:dyDescent="0.25">
      <c r="A213" s="142"/>
      <c r="B213" s="142"/>
      <c r="C213" s="142"/>
      <c r="D213" s="142"/>
      <c r="E213" s="142"/>
      <c r="F213" s="143">
        <f t="shared" si="6"/>
        <v>0</v>
      </c>
      <c r="G213" s="143" t="str">
        <f>IFERROR(INDEX($A$2:$A$226,MATCH(ROWS($F$2:F213),$F$2:$F$226,0)),"")</f>
        <v/>
      </c>
      <c r="H213" s="144">
        <f>IF(ISERROR(SEARCH('CASH REPORT'!$C$1,$G213)),0,1)</f>
        <v>0</v>
      </c>
      <c r="I213" s="144" t="str">
        <f>IF($H213=0,"",COUNTIF($H$2:H213,1))</f>
        <v/>
      </c>
      <c r="J213" s="144" t="str">
        <f t="shared" si="7"/>
        <v/>
      </c>
    </row>
    <row r="214" spans="1:10" x14ac:dyDescent="0.25">
      <c r="A214" s="142"/>
      <c r="B214" s="142"/>
      <c r="C214" s="142"/>
      <c r="D214" s="142"/>
      <c r="E214" s="142"/>
      <c r="F214" s="143">
        <f t="shared" si="6"/>
        <v>0</v>
      </c>
      <c r="G214" s="143" t="str">
        <f>IFERROR(INDEX($A$2:$A$226,MATCH(ROWS($F$2:F214),$F$2:$F$226,0)),"")</f>
        <v/>
      </c>
      <c r="H214" s="144">
        <f>IF(ISERROR(SEARCH('CASH REPORT'!$C$1,$G214)),0,1)</f>
        <v>0</v>
      </c>
      <c r="I214" s="144" t="str">
        <f>IF($H214=0,"",COUNTIF($H$2:H214,1))</f>
        <v/>
      </c>
      <c r="J214" s="144" t="str">
        <f t="shared" si="7"/>
        <v/>
      </c>
    </row>
    <row r="215" spans="1:10" x14ac:dyDescent="0.25">
      <c r="A215" s="142"/>
      <c r="B215" s="142"/>
      <c r="C215" s="142"/>
      <c r="D215" s="142"/>
      <c r="E215" s="142"/>
      <c r="F215" s="143">
        <f t="shared" si="6"/>
        <v>0</v>
      </c>
      <c r="G215" s="143" t="str">
        <f>IFERROR(INDEX($A$2:$A$226,MATCH(ROWS($F$2:F215),$F$2:$F$226,0)),"")</f>
        <v/>
      </c>
      <c r="H215" s="144">
        <f>IF(ISERROR(SEARCH('CASH REPORT'!$C$1,$G215)),0,1)</f>
        <v>0</v>
      </c>
      <c r="I215" s="144" t="str">
        <f>IF($H215=0,"",COUNTIF($H$2:H215,1))</f>
        <v/>
      </c>
      <c r="J215" s="144" t="str">
        <f t="shared" si="7"/>
        <v/>
      </c>
    </row>
    <row r="216" spans="1:10" x14ac:dyDescent="0.25">
      <c r="A216" s="142"/>
      <c r="B216" s="142"/>
      <c r="C216" s="142"/>
      <c r="D216" s="142"/>
      <c r="E216" s="142"/>
      <c r="F216" s="143">
        <f t="shared" si="6"/>
        <v>0</v>
      </c>
      <c r="G216" s="143" t="str">
        <f>IFERROR(INDEX($A$2:$A$226,MATCH(ROWS($F$2:F216),$F$2:$F$226,0)),"")</f>
        <v/>
      </c>
      <c r="H216" s="144">
        <f>IF(ISERROR(SEARCH('CASH REPORT'!$C$1,$G216)),0,1)</f>
        <v>0</v>
      </c>
      <c r="I216" s="144" t="str">
        <f>IF($H216=0,"",COUNTIF($H$2:H216,1))</f>
        <v/>
      </c>
      <c r="J216" s="144" t="str">
        <f t="shared" si="7"/>
        <v/>
      </c>
    </row>
    <row r="217" spans="1:10" x14ac:dyDescent="0.25">
      <c r="A217" s="142"/>
      <c r="B217" s="142"/>
      <c r="C217" s="142"/>
      <c r="D217" s="142"/>
      <c r="E217" s="142"/>
      <c r="F217" s="143">
        <f t="shared" si="6"/>
        <v>0</v>
      </c>
      <c r="G217" s="143" t="str">
        <f>IFERROR(INDEX($A$2:$A$226,MATCH(ROWS($F$2:F217),$F$2:$F$226,0)),"")</f>
        <v/>
      </c>
      <c r="H217" s="144">
        <f>IF(ISERROR(SEARCH('CASH REPORT'!$C$1,$G217)),0,1)</f>
        <v>0</v>
      </c>
      <c r="I217" s="144" t="str">
        <f>IF($H217=0,"",COUNTIF($H$2:H217,1))</f>
        <v/>
      </c>
      <c r="J217" s="144" t="str">
        <f t="shared" si="7"/>
        <v/>
      </c>
    </row>
    <row r="218" spans="1:10" x14ac:dyDescent="0.25">
      <c r="A218" s="142"/>
      <c r="B218" s="142"/>
      <c r="C218" s="142"/>
      <c r="D218" s="142"/>
      <c r="E218" s="142"/>
      <c r="F218" s="143">
        <f t="shared" si="6"/>
        <v>0</v>
      </c>
      <c r="G218" s="143" t="str">
        <f>IFERROR(INDEX($A$2:$A$226,MATCH(ROWS($F$2:F218),$F$2:$F$226,0)),"")</f>
        <v/>
      </c>
      <c r="H218" s="144">
        <f>IF(ISERROR(SEARCH('CASH REPORT'!$C$1,$G218)),0,1)</f>
        <v>0</v>
      </c>
      <c r="I218" s="144" t="str">
        <f>IF($H218=0,"",COUNTIF($H$2:H218,1))</f>
        <v/>
      </c>
      <c r="J218" s="144" t="str">
        <f t="shared" si="7"/>
        <v/>
      </c>
    </row>
    <row r="219" spans="1:10" x14ac:dyDescent="0.25">
      <c r="A219" s="142"/>
      <c r="B219" s="142"/>
      <c r="C219" s="142"/>
      <c r="D219" s="142"/>
      <c r="E219" s="142"/>
      <c r="F219" s="143">
        <f t="shared" si="6"/>
        <v>0</v>
      </c>
      <c r="G219" s="143" t="str">
        <f>IFERROR(INDEX($A$2:$A$226,MATCH(ROWS($F$2:F219),$F$2:$F$226,0)),"")</f>
        <v/>
      </c>
      <c r="H219" s="144">
        <f>IF(ISERROR(SEARCH('CASH REPORT'!$C$1,$G219)),0,1)</f>
        <v>0</v>
      </c>
      <c r="I219" s="144" t="str">
        <f>IF($H219=0,"",COUNTIF($H$2:H219,1))</f>
        <v/>
      </c>
      <c r="J219" s="144" t="str">
        <f t="shared" si="7"/>
        <v/>
      </c>
    </row>
    <row r="220" spans="1:10" x14ac:dyDescent="0.25">
      <c r="A220" s="142"/>
      <c r="B220" s="142"/>
      <c r="C220" s="142"/>
      <c r="D220" s="142"/>
      <c r="E220" s="142"/>
      <c r="F220" s="143">
        <f t="shared" si="6"/>
        <v>0</v>
      </c>
      <c r="G220" s="143" t="str">
        <f>IFERROR(INDEX($A$2:$A$226,MATCH(ROWS($F$2:F220),$F$2:$F$226,0)),"")</f>
        <v/>
      </c>
      <c r="H220" s="144">
        <f>IF(ISERROR(SEARCH('CASH REPORT'!$C$1,$G220)),0,1)</f>
        <v>0</v>
      </c>
      <c r="I220" s="144" t="str">
        <f>IF($H220=0,"",COUNTIF($H$2:H220,1))</f>
        <v/>
      </c>
      <c r="J220" s="144" t="str">
        <f t="shared" si="7"/>
        <v/>
      </c>
    </row>
    <row r="221" spans="1:10" x14ac:dyDescent="0.25">
      <c r="A221" s="142"/>
      <c r="B221" s="142"/>
      <c r="C221" s="142"/>
      <c r="D221" s="142"/>
      <c r="E221" s="142"/>
      <c r="F221" s="143">
        <f t="shared" si="6"/>
        <v>0</v>
      </c>
      <c r="G221" s="143" t="str">
        <f>IFERROR(INDEX($A$2:$A$226,MATCH(ROWS($F$2:F221),$F$2:$F$226,0)),"")</f>
        <v/>
      </c>
      <c r="H221" s="144">
        <f>IF(ISERROR(SEARCH('CASH REPORT'!$C$1,$G221)),0,1)</f>
        <v>0</v>
      </c>
      <c r="I221" s="144" t="str">
        <f>IF($H221=0,"",COUNTIF($H$2:H221,1))</f>
        <v/>
      </c>
      <c r="J221" s="144" t="str">
        <f t="shared" si="7"/>
        <v/>
      </c>
    </row>
    <row r="222" spans="1:10" x14ac:dyDescent="0.25">
      <c r="A222" s="142"/>
      <c r="B222" s="142"/>
      <c r="C222" s="142"/>
      <c r="D222" s="142"/>
      <c r="E222" s="142"/>
      <c r="F222" s="143">
        <f t="shared" si="6"/>
        <v>0</v>
      </c>
      <c r="G222" s="143" t="str">
        <f>IFERROR(INDEX($A$2:$A$226,MATCH(ROWS($F$2:F222),$F$2:$F$226,0)),"")</f>
        <v/>
      </c>
      <c r="H222" s="144">
        <f>IF(ISERROR(SEARCH('CASH REPORT'!$C$1,$G222)),0,1)</f>
        <v>0</v>
      </c>
      <c r="I222" s="144" t="str">
        <f>IF($H222=0,"",COUNTIF($H$2:H222,1))</f>
        <v/>
      </c>
      <c r="J222" s="144" t="str">
        <f t="shared" si="7"/>
        <v/>
      </c>
    </row>
    <row r="223" spans="1:10" x14ac:dyDescent="0.25">
      <c r="A223" s="142"/>
      <c r="B223" s="142"/>
      <c r="C223" s="142"/>
      <c r="D223" s="142"/>
      <c r="E223" s="142"/>
      <c r="F223" s="143">
        <f t="shared" si="6"/>
        <v>0</v>
      </c>
      <c r="G223" s="143" t="str">
        <f>IFERROR(INDEX($A$2:$A$226,MATCH(ROWS($F$2:F223),$F$2:$F$226,0)),"")</f>
        <v/>
      </c>
      <c r="H223" s="144">
        <f>IF(ISERROR(SEARCH('CASH REPORT'!$C$1,$G223)),0,1)</f>
        <v>0</v>
      </c>
      <c r="I223" s="144" t="str">
        <f>IF($H223=0,"",COUNTIF($H$2:H223,1))</f>
        <v/>
      </c>
      <c r="J223" s="144" t="str">
        <f t="shared" si="7"/>
        <v/>
      </c>
    </row>
    <row r="224" spans="1:10" x14ac:dyDescent="0.25">
      <c r="A224" s="142"/>
      <c r="B224" s="142"/>
      <c r="C224" s="142"/>
      <c r="D224" s="142"/>
      <c r="E224" s="142"/>
      <c r="F224" s="143">
        <f t="shared" si="6"/>
        <v>0</v>
      </c>
      <c r="G224" s="143" t="str">
        <f>IFERROR(INDEX($A$2:$A$226,MATCH(ROWS($F$2:F224),$F$2:$F$226,0)),"")</f>
        <v/>
      </c>
      <c r="H224" s="144">
        <f>IF(ISERROR(SEARCH('CASH REPORT'!$C$1,$G224)),0,1)</f>
        <v>0</v>
      </c>
      <c r="I224" s="144" t="str">
        <f>IF($H224=0,"",COUNTIF($H$2:H224,1))</f>
        <v/>
      </c>
      <c r="J224" s="144" t="str">
        <f t="shared" si="7"/>
        <v/>
      </c>
    </row>
    <row r="225" spans="1:10" x14ac:dyDescent="0.25">
      <c r="A225" s="142"/>
      <c r="B225" s="142"/>
      <c r="C225" s="142"/>
      <c r="D225" s="142"/>
      <c r="E225" s="142"/>
      <c r="F225" s="143">
        <f t="shared" si="6"/>
        <v>0</v>
      </c>
      <c r="G225" s="143" t="str">
        <f>IFERROR(INDEX($A$2:$A$226,MATCH(ROWS($F$2:F225),$F$2:$F$226,0)),"")</f>
        <v/>
      </c>
      <c r="H225" s="144">
        <f>IF(ISERROR(SEARCH('CASH REPORT'!$C$1,$G225)),0,1)</f>
        <v>0</v>
      </c>
      <c r="I225" s="144" t="str">
        <f>IF($H225=0,"",COUNTIF($H$2:H225,1))</f>
        <v/>
      </c>
      <c r="J225" s="144" t="str">
        <f t="shared" si="7"/>
        <v/>
      </c>
    </row>
    <row r="226" spans="1:10" x14ac:dyDescent="0.25">
      <c r="A226" s="142"/>
      <c r="B226" s="142"/>
      <c r="C226" s="142"/>
      <c r="D226" s="142"/>
      <c r="E226" s="142"/>
      <c r="F226" s="143">
        <f t="shared" si="6"/>
        <v>0</v>
      </c>
      <c r="G226" s="143" t="str">
        <f>IFERROR(INDEX($A$2:$A$226,MATCH(ROWS($F$2:F226),$F$2:$F$226,0)),"")</f>
        <v/>
      </c>
      <c r="H226" s="144">
        <f>IF(ISERROR(SEARCH('CASH REPORT'!$C$1,$G226)),0,1)</f>
        <v>0</v>
      </c>
      <c r="I226" s="144" t="str">
        <f>IF($H226=0,"",COUNTIF($H$2:H226,1))</f>
        <v/>
      </c>
      <c r="J226" s="144" t="str">
        <f t="shared" si="7"/>
        <v/>
      </c>
    </row>
    <row r="227" spans="1:10" x14ac:dyDescent="0.25">
      <c r="A227" s="142"/>
      <c r="B227" s="142"/>
      <c r="C227" s="142"/>
      <c r="D227" s="142"/>
      <c r="E227" s="142"/>
      <c r="F227" s="143">
        <f t="shared" si="6"/>
        <v>0</v>
      </c>
      <c r="G227" s="143" t="str">
        <f>IFERROR(INDEX($A$2:$A$226,MATCH(ROWS($F$2:F227),$F$2:$F$226,0)),"")</f>
        <v/>
      </c>
      <c r="H227" s="144">
        <f>IF(ISERROR(SEARCH('CASH REPORT'!$C$1,$G227)),0,1)</f>
        <v>0</v>
      </c>
      <c r="I227" s="144" t="str">
        <f>IF($H227=0,"",COUNTIF($H$2:H227,1))</f>
        <v/>
      </c>
      <c r="J227" s="144" t="str">
        <f t="shared" si="7"/>
        <v/>
      </c>
    </row>
    <row r="228" spans="1:10" x14ac:dyDescent="0.25">
      <c r="A228" s="142"/>
      <c r="B228" s="142"/>
      <c r="C228" s="142"/>
      <c r="D228" s="142"/>
      <c r="E228" s="142"/>
      <c r="F228" s="143">
        <f t="shared" si="6"/>
        <v>0</v>
      </c>
      <c r="G228" s="143" t="str">
        <f>IFERROR(INDEX($A$2:$A$226,MATCH(ROWS($F$2:F228),$F$2:$F$226,0)),"")</f>
        <v/>
      </c>
      <c r="H228" s="144">
        <f>IF(ISERROR(SEARCH('CASH REPORT'!$C$1,$G228)),0,1)</f>
        <v>0</v>
      </c>
      <c r="I228" s="144" t="str">
        <f>IF($H228=0,"",COUNTIF($H$2:H228,1))</f>
        <v/>
      </c>
      <c r="J228" s="144" t="str">
        <f t="shared" si="7"/>
        <v/>
      </c>
    </row>
    <row r="229" spans="1:10" x14ac:dyDescent="0.25">
      <c r="A229" s="142"/>
      <c r="B229" s="142"/>
      <c r="C229" s="142"/>
      <c r="D229" s="142"/>
      <c r="E229" s="142"/>
      <c r="F229" s="143">
        <f t="shared" si="6"/>
        <v>0</v>
      </c>
      <c r="G229" s="143" t="str">
        <f>IFERROR(INDEX($A$2:$A$226,MATCH(ROWS($F$2:F229),$F$2:$F$226,0)),"")</f>
        <v/>
      </c>
      <c r="H229" s="144">
        <f>IF(ISERROR(SEARCH('CASH REPORT'!$C$1,$G229)),0,1)</f>
        <v>0</v>
      </c>
      <c r="I229" s="144" t="str">
        <f>IF($H229=0,"",COUNTIF($H$2:H229,1))</f>
        <v/>
      </c>
      <c r="J229" s="144" t="str">
        <f t="shared" si="7"/>
        <v/>
      </c>
    </row>
    <row r="230" spans="1:10" x14ac:dyDescent="0.25">
      <c r="A230" s="142"/>
      <c r="B230" s="142"/>
      <c r="C230" s="142"/>
      <c r="D230" s="142"/>
      <c r="E230" s="142"/>
      <c r="F230" s="143">
        <f t="shared" si="6"/>
        <v>0</v>
      </c>
      <c r="G230" s="143" t="str">
        <f>IFERROR(INDEX($A$2:$A$226,MATCH(ROWS($F$2:F230),$F$2:$F$226,0)),"")</f>
        <v/>
      </c>
      <c r="H230" s="144">
        <f>IF(ISERROR(SEARCH('CASH REPORT'!$C$1,$G230)),0,1)</f>
        <v>0</v>
      </c>
      <c r="I230" s="144" t="str">
        <f>IF($H230=0,"",COUNTIF($H$2:H230,1))</f>
        <v/>
      </c>
      <c r="J230" s="144" t="str">
        <f t="shared" si="7"/>
        <v/>
      </c>
    </row>
    <row r="231" spans="1:10" x14ac:dyDescent="0.25">
      <c r="A231" s="142"/>
      <c r="B231" s="142"/>
      <c r="C231" s="142"/>
      <c r="D231" s="142"/>
      <c r="E231" s="142"/>
      <c r="F231" s="143">
        <f t="shared" si="6"/>
        <v>0</v>
      </c>
      <c r="G231" s="143" t="str">
        <f>IFERROR(INDEX($A$2:$A$226,MATCH(ROWS($F$2:F231),$F$2:$F$226,0)),"")</f>
        <v/>
      </c>
      <c r="H231" s="144">
        <f>IF(ISERROR(SEARCH('CASH REPORT'!$C$1,$G231)),0,1)</f>
        <v>0</v>
      </c>
      <c r="I231" s="144" t="str">
        <f>IF($H231=0,"",COUNTIF($H$2:H231,1))</f>
        <v/>
      </c>
      <c r="J231" s="144" t="str">
        <f t="shared" si="7"/>
        <v/>
      </c>
    </row>
    <row r="232" spans="1:10" x14ac:dyDescent="0.25">
      <c r="A232" s="142"/>
      <c r="B232" s="142"/>
      <c r="C232" s="142"/>
      <c r="D232" s="142"/>
      <c r="E232" s="142"/>
      <c r="F232" s="143">
        <f t="shared" si="6"/>
        <v>0</v>
      </c>
      <c r="G232" s="143" t="str">
        <f>IFERROR(INDEX($A$2:$A$226,MATCH(ROWS($F$2:F232),$F$2:$F$226,0)),"")</f>
        <v/>
      </c>
      <c r="H232" s="144">
        <f>IF(ISERROR(SEARCH('CASH REPORT'!$C$1,$G232)),0,1)</f>
        <v>0</v>
      </c>
      <c r="I232" s="144" t="str">
        <f>IF($H232=0,"",COUNTIF($H$2:H232,1))</f>
        <v/>
      </c>
      <c r="J232" s="144" t="str">
        <f t="shared" si="7"/>
        <v/>
      </c>
    </row>
    <row r="233" spans="1:10" x14ac:dyDescent="0.25">
      <c r="A233" s="142"/>
      <c r="B233" s="142"/>
      <c r="C233" s="142"/>
      <c r="D233" s="142"/>
      <c r="E233" s="142"/>
      <c r="F233" s="143">
        <f t="shared" si="6"/>
        <v>0</v>
      </c>
      <c r="G233" s="143" t="str">
        <f>IFERROR(INDEX($A$2:$A$226,MATCH(ROWS($F$2:F233),$F$2:$F$226,0)),"")</f>
        <v/>
      </c>
      <c r="H233" s="144">
        <f>IF(ISERROR(SEARCH('CASH REPORT'!$C$1,$G233)),0,1)</f>
        <v>0</v>
      </c>
      <c r="I233" s="144" t="str">
        <f>IF($H233=0,"",COUNTIF($H$2:H233,1))</f>
        <v/>
      </c>
      <c r="J233" s="144" t="str">
        <f t="shared" si="7"/>
        <v/>
      </c>
    </row>
    <row r="234" spans="1:10" x14ac:dyDescent="0.25">
      <c r="A234" s="142"/>
      <c r="B234" s="142"/>
      <c r="C234" s="142"/>
      <c r="D234" s="142"/>
      <c r="E234" s="142"/>
      <c r="F234" s="143">
        <f t="shared" si="6"/>
        <v>0</v>
      </c>
      <c r="G234" s="143" t="str">
        <f>IFERROR(INDEX($A$2:$A$226,MATCH(ROWS($F$2:F234),$F$2:$F$226,0)),"")</f>
        <v/>
      </c>
      <c r="H234" s="144">
        <f>IF(ISERROR(SEARCH('CASH REPORT'!$C$1,$G234)),0,1)</f>
        <v>0</v>
      </c>
      <c r="I234" s="144" t="str">
        <f>IF($H234=0,"",COUNTIF($H$2:H234,1))</f>
        <v/>
      </c>
      <c r="J234" s="144" t="str">
        <f t="shared" si="7"/>
        <v/>
      </c>
    </row>
    <row r="235" spans="1:10" x14ac:dyDescent="0.25">
      <c r="A235" s="142"/>
      <c r="B235" s="142"/>
      <c r="C235" s="142"/>
      <c r="D235" s="142"/>
      <c r="E235" s="142"/>
      <c r="F235" s="143">
        <f t="shared" si="6"/>
        <v>0</v>
      </c>
      <c r="G235" s="143" t="str">
        <f>IFERROR(INDEX($A$2:$A$226,MATCH(ROWS($F$2:F235),$F$2:$F$226,0)),"")</f>
        <v/>
      </c>
      <c r="H235" s="144">
        <f>IF(ISERROR(SEARCH('CASH REPORT'!$C$1,$G235)),0,1)</f>
        <v>0</v>
      </c>
      <c r="I235" s="144" t="str">
        <f>IF($H235=0,"",COUNTIF($H$2:H235,1))</f>
        <v/>
      </c>
      <c r="J235" s="144" t="str">
        <f t="shared" si="7"/>
        <v/>
      </c>
    </row>
    <row r="236" spans="1:10" x14ac:dyDescent="0.25">
      <c r="A236" s="142"/>
      <c r="B236" s="142"/>
      <c r="C236" s="142"/>
      <c r="D236" s="142"/>
      <c r="E236" s="142"/>
      <c r="F236" s="143">
        <f t="shared" si="6"/>
        <v>0</v>
      </c>
      <c r="G236" s="143" t="str">
        <f>IFERROR(INDEX($A$2:$A$226,MATCH(ROWS($F$2:F236),$F$2:$F$226,0)),"")</f>
        <v/>
      </c>
      <c r="H236" s="144">
        <f>IF(ISERROR(SEARCH('CASH REPORT'!$C$1,$G236)),0,1)</f>
        <v>0</v>
      </c>
      <c r="I236" s="144" t="str">
        <f>IF($H236=0,"",COUNTIF($H$2:H236,1))</f>
        <v/>
      </c>
      <c r="J236" s="144" t="str">
        <f t="shared" si="7"/>
        <v/>
      </c>
    </row>
    <row r="237" spans="1:10" x14ac:dyDescent="0.25">
      <c r="A237" s="142"/>
      <c r="B237" s="142"/>
      <c r="C237" s="142"/>
      <c r="D237" s="142"/>
      <c r="E237" s="142"/>
      <c r="F237" s="143">
        <f t="shared" si="6"/>
        <v>0</v>
      </c>
      <c r="G237" s="143" t="str">
        <f>IFERROR(INDEX($A$2:$A$226,MATCH(ROWS($F$2:F237),$F$2:$F$226,0)),"")</f>
        <v/>
      </c>
      <c r="H237" s="144">
        <f>IF(ISERROR(SEARCH('CASH REPORT'!$C$1,$G237)),0,1)</f>
        <v>0</v>
      </c>
      <c r="I237" s="144" t="str">
        <f>IF($H237=0,"",COUNTIF($H$2:H237,1))</f>
        <v/>
      </c>
      <c r="J237" s="144" t="str">
        <f t="shared" si="7"/>
        <v/>
      </c>
    </row>
    <row r="238" spans="1:10" x14ac:dyDescent="0.25">
      <c r="A238" s="142"/>
      <c r="B238" s="142"/>
      <c r="C238" s="142"/>
      <c r="D238" s="142"/>
      <c r="E238" s="142"/>
      <c r="F238" s="143">
        <f t="shared" si="6"/>
        <v>0</v>
      </c>
      <c r="G238" s="143" t="str">
        <f>IFERROR(INDEX($A$2:$A$226,MATCH(ROWS($F$2:F238),$F$2:$F$226,0)),"")</f>
        <v/>
      </c>
      <c r="H238" s="144">
        <f>IF(ISERROR(SEARCH('CASH REPORT'!$C$1,$G238)),0,1)</f>
        <v>0</v>
      </c>
      <c r="I238" s="144" t="str">
        <f>IF($H238=0,"",COUNTIF($H$2:H238,1))</f>
        <v/>
      </c>
      <c r="J238" s="144" t="str">
        <f t="shared" si="7"/>
        <v/>
      </c>
    </row>
    <row r="239" spans="1:10" x14ac:dyDescent="0.25">
      <c r="A239" s="142"/>
      <c r="B239" s="142"/>
      <c r="C239" s="142"/>
      <c r="D239" s="142"/>
      <c r="E239" s="142"/>
      <c r="F239" s="143">
        <f t="shared" si="6"/>
        <v>0</v>
      </c>
      <c r="G239" s="143" t="str">
        <f>IFERROR(INDEX($A$2:$A$226,MATCH(ROWS($F$2:F239),$F$2:$F$226,0)),"")</f>
        <v/>
      </c>
      <c r="H239" s="144">
        <f>IF(ISERROR(SEARCH('CASH REPORT'!$C$1,$G239)),0,1)</f>
        <v>0</v>
      </c>
      <c r="I239" s="144" t="str">
        <f>IF($H239=0,"",COUNTIF($H$2:H239,1))</f>
        <v/>
      </c>
      <c r="J239" s="144" t="str">
        <f t="shared" si="7"/>
        <v/>
      </c>
    </row>
    <row r="240" spans="1:10" x14ac:dyDescent="0.25">
      <c r="A240" s="142"/>
      <c r="B240" s="142"/>
      <c r="C240" s="142"/>
      <c r="D240" s="142"/>
      <c r="E240" s="142"/>
      <c r="F240" s="143">
        <f t="shared" si="6"/>
        <v>0</v>
      </c>
      <c r="G240" s="143" t="str">
        <f>IFERROR(INDEX($A$2:$A$226,MATCH(ROWS($F$2:F240),$F$2:$F$226,0)),"")</f>
        <v/>
      </c>
      <c r="H240" s="144">
        <f>IF(ISERROR(SEARCH('CASH REPORT'!$C$1,$G240)),0,1)</f>
        <v>0</v>
      </c>
      <c r="I240" s="144" t="str">
        <f>IF($H240=0,"",COUNTIF($H$2:H240,1))</f>
        <v/>
      </c>
      <c r="J240" s="144" t="str">
        <f t="shared" si="7"/>
        <v/>
      </c>
    </row>
    <row r="241" spans="1:10" x14ac:dyDescent="0.25">
      <c r="A241" s="142"/>
      <c r="B241" s="142"/>
      <c r="C241" s="142"/>
      <c r="D241" s="142"/>
      <c r="E241" s="142"/>
      <c r="F241" s="143">
        <f t="shared" si="6"/>
        <v>0</v>
      </c>
      <c r="G241" s="143" t="str">
        <f>IFERROR(INDEX($A$2:$A$226,MATCH(ROWS($F$2:F241),$F$2:$F$226,0)),"")</f>
        <v/>
      </c>
      <c r="H241" s="144">
        <f>IF(ISERROR(SEARCH('CASH REPORT'!$C$1,$G241)),0,1)</f>
        <v>0</v>
      </c>
      <c r="I241" s="144" t="str">
        <f>IF($H241=0,"",COUNTIF($H$2:H241,1))</f>
        <v/>
      </c>
      <c r="J241" s="144" t="str">
        <f t="shared" si="7"/>
        <v/>
      </c>
    </row>
    <row r="242" spans="1:10" x14ac:dyDescent="0.25">
      <c r="A242" s="142"/>
      <c r="B242" s="142"/>
      <c r="C242" s="142"/>
      <c r="D242" s="142"/>
      <c r="E242" s="142"/>
      <c r="F242" s="143">
        <f t="shared" si="6"/>
        <v>0</v>
      </c>
      <c r="G242" s="143" t="str">
        <f>IFERROR(INDEX($A$2:$A$226,MATCH(ROWS($F$2:F242),$F$2:$F$226,0)),"")</f>
        <v/>
      </c>
      <c r="H242" s="144">
        <f>IF(ISERROR(SEARCH('CASH REPORT'!$C$1,$G242)),0,1)</f>
        <v>0</v>
      </c>
      <c r="I242" s="144" t="str">
        <f>IF($H242=0,"",COUNTIF($H$2:H242,1))</f>
        <v/>
      </c>
      <c r="J242" s="144" t="str">
        <f t="shared" si="7"/>
        <v/>
      </c>
    </row>
    <row r="243" spans="1:10" x14ac:dyDescent="0.25">
      <c r="A243" s="142"/>
      <c r="B243" s="142"/>
      <c r="C243" s="142"/>
      <c r="D243" s="142"/>
      <c r="E243" s="142"/>
      <c r="F243" s="143">
        <f t="shared" si="6"/>
        <v>0</v>
      </c>
      <c r="G243" s="143" t="str">
        <f>IFERROR(INDEX($A$2:$A$226,MATCH(ROWS($F$2:F243),$F$2:$F$226,0)),"")</f>
        <v/>
      </c>
      <c r="H243" s="144">
        <f>IF(ISERROR(SEARCH('CASH REPORT'!$C$1,$G243)),0,1)</f>
        <v>0</v>
      </c>
      <c r="I243" s="144" t="str">
        <f>IF($H243=0,"",COUNTIF($H$2:H243,1))</f>
        <v/>
      </c>
      <c r="J243" s="144" t="str">
        <f t="shared" si="7"/>
        <v/>
      </c>
    </row>
    <row r="244" spans="1:10" x14ac:dyDescent="0.25">
      <c r="A244" s="142"/>
      <c r="B244" s="142"/>
      <c r="C244" s="142"/>
      <c r="D244" s="142"/>
      <c r="E244" s="142"/>
      <c r="F244" s="143">
        <f t="shared" si="6"/>
        <v>0</v>
      </c>
      <c r="G244" s="143" t="str">
        <f>IFERROR(INDEX($A$2:$A$226,MATCH(ROWS($F$2:F244),$F$2:$F$226,0)),"")</f>
        <v/>
      </c>
      <c r="H244" s="144">
        <f>IF(ISERROR(SEARCH('CASH REPORT'!$C$1,$G244)),0,1)</f>
        <v>0</v>
      </c>
      <c r="I244" s="144" t="str">
        <f>IF($H244=0,"",COUNTIF($H$2:H244,1))</f>
        <v/>
      </c>
      <c r="J244" s="144" t="str">
        <f t="shared" si="7"/>
        <v/>
      </c>
    </row>
    <row r="245" spans="1:10" x14ac:dyDescent="0.25">
      <c r="A245" s="142"/>
      <c r="B245" s="142"/>
      <c r="C245" s="142"/>
      <c r="D245" s="142"/>
      <c r="E245" s="142"/>
      <c r="F245" s="143">
        <f t="shared" si="6"/>
        <v>0</v>
      </c>
      <c r="G245" s="143" t="str">
        <f>IFERROR(INDEX($A$2:$A$226,MATCH(ROWS($F$2:F245),$F$2:$F$226,0)),"")</f>
        <v/>
      </c>
      <c r="H245" s="144">
        <f>IF(ISERROR(SEARCH('CASH REPORT'!$C$1,$G245)),0,1)</f>
        <v>0</v>
      </c>
      <c r="I245" s="144" t="str">
        <f>IF($H245=0,"",COUNTIF($H$2:H245,1))</f>
        <v/>
      </c>
      <c r="J245" s="144" t="str">
        <f t="shared" si="7"/>
        <v/>
      </c>
    </row>
    <row r="246" spans="1:10" x14ac:dyDescent="0.25">
      <c r="A246" s="142"/>
      <c r="B246" s="142"/>
      <c r="C246" s="142"/>
      <c r="D246" s="142"/>
      <c r="E246" s="142"/>
      <c r="F246" s="143">
        <f t="shared" si="6"/>
        <v>0</v>
      </c>
      <c r="G246" s="143" t="str">
        <f>IFERROR(INDEX($A$2:$A$226,MATCH(ROWS($F$2:F246),$F$2:$F$226,0)),"")</f>
        <v/>
      </c>
      <c r="H246" s="144">
        <f>IF(ISERROR(SEARCH('CASH REPORT'!$C$1,$G246)),0,1)</f>
        <v>0</v>
      </c>
      <c r="I246" s="144" t="str">
        <f>IF($H246=0,"",COUNTIF($H$2:H246,1))</f>
        <v/>
      </c>
      <c r="J246" s="144" t="str">
        <f t="shared" si="7"/>
        <v/>
      </c>
    </row>
    <row r="247" spans="1:10" x14ac:dyDescent="0.25">
      <c r="A247" s="142"/>
      <c r="B247" s="142"/>
      <c r="C247" s="142"/>
      <c r="D247" s="142"/>
      <c r="E247" s="142"/>
      <c r="F247" s="143">
        <f t="shared" si="6"/>
        <v>0</v>
      </c>
      <c r="G247" s="143" t="str">
        <f>IFERROR(INDEX($A$2:$A$226,MATCH(ROWS($F$2:F247),$F$2:$F$226,0)),"")</f>
        <v/>
      </c>
      <c r="H247" s="144">
        <f>IF(ISERROR(SEARCH('CASH REPORT'!$C$1,$G247)),0,1)</f>
        <v>0</v>
      </c>
      <c r="I247" s="144" t="str">
        <f>IF($H247=0,"",COUNTIF($H$2:H247,1))</f>
        <v/>
      </c>
      <c r="J247" s="144" t="str">
        <f t="shared" si="7"/>
        <v/>
      </c>
    </row>
    <row r="248" spans="1:10" x14ac:dyDescent="0.25">
      <c r="A248" s="142"/>
      <c r="B248" s="142"/>
      <c r="C248" s="142"/>
      <c r="D248" s="142"/>
      <c r="E248" s="142"/>
      <c r="F248" s="143">
        <f t="shared" si="6"/>
        <v>0</v>
      </c>
      <c r="G248" s="143" t="str">
        <f>IFERROR(INDEX($A$2:$A$226,MATCH(ROWS($F$2:F248),$F$2:$F$226,0)),"")</f>
        <v/>
      </c>
      <c r="H248" s="144">
        <f>IF(ISERROR(SEARCH('CASH REPORT'!$C$1,$G248)),0,1)</f>
        <v>0</v>
      </c>
      <c r="I248" s="144" t="str">
        <f>IF($H248=0,"",COUNTIF($H$2:H248,1))</f>
        <v/>
      </c>
      <c r="J248" s="144" t="str">
        <f t="shared" si="7"/>
        <v/>
      </c>
    </row>
    <row r="249" spans="1:10" x14ac:dyDescent="0.25">
      <c r="A249" s="142"/>
      <c r="B249" s="142"/>
      <c r="C249" s="142"/>
      <c r="D249" s="142"/>
      <c r="E249" s="142"/>
      <c r="F249" s="143">
        <f t="shared" si="6"/>
        <v>0</v>
      </c>
      <c r="G249" s="143" t="str">
        <f>IFERROR(INDEX($A$2:$A$226,MATCH(ROWS($F$2:F249),$F$2:$F$226,0)),"")</f>
        <v/>
      </c>
      <c r="H249" s="144">
        <f>IF(ISERROR(SEARCH('CASH REPORT'!$C$1,$G249)),0,1)</f>
        <v>0</v>
      </c>
      <c r="I249" s="144" t="str">
        <f>IF($H249=0,"",COUNTIF($H$2:H249,1))</f>
        <v/>
      </c>
      <c r="J249" s="144" t="str">
        <f t="shared" si="7"/>
        <v/>
      </c>
    </row>
    <row r="250" spans="1:10" x14ac:dyDescent="0.25">
      <c r="A250" s="142"/>
      <c r="B250" s="142"/>
      <c r="C250" s="142"/>
      <c r="D250" s="142"/>
      <c r="E250" s="142"/>
      <c r="F250" s="143">
        <f t="shared" si="6"/>
        <v>0</v>
      </c>
      <c r="G250" s="143" t="str">
        <f>IFERROR(INDEX($A$2:$A$226,MATCH(ROWS($F$2:F250),$F$2:$F$226,0)),"")</f>
        <v/>
      </c>
      <c r="H250" s="144">
        <f>IF(ISERROR(SEARCH('CASH REPORT'!$C$1,$G250)),0,1)</f>
        <v>0</v>
      </c>
      <c r="I250" s="144" t="str">
        <f>IF($H250=0,"",COUNTIF($H$2:H250,1))</f>
        <v/>
      </c>
      <c r="J250" s="144" t="str">
        <f t="shared" si="7"/>
        <v/>
      </c>
    </row>
    <row r="251" spans="1:10" x14ac:dyDescent="0.25">
      <c r="A251" s="142"/>
      <c r="B251" s="142"/>
      <c r="C251" s="142"/>
      <c r="D251" s="142"/>
      <c r="E251" s="142"/>
      <c r="F251" s="143">
        <f t="shared" si="6"/>
        <v>0</v>
      </c>
      <c r="G251" s="143" t="str">
        <f>IFERROR(INDEX($A$2:$A$226,MATCH(ROWS($F$2:F251),$F$2:$F$226,0)),"")</f>
        <v/>
      </c>
      <c r="H251" s="144">
        <f>IF(ISERROR(SEARCH('CASH REPORT'!$C$1,$G251)),0,1)</f>
        <v>0</v>
      </c>
      <c r="I251" s="144" t="str">
        <f>IF($H251=0,"",COUNTIF($H$2:H251,1))</f>
        <v/>
      </c>
      <c r="J251" s="144" t="str">
        <f t="shared" si="7"/>
        <v/>
      </c>
    </row>
    <row r="252" spans="1:10" x14ac:dyDescent="0.25">
      <c r="A252" s="142"/>
      <c r="B252" s="142"/>
      <c r="C252" s="142"/>
      <c r="D252" s="142"/>
      <c r="E252" s="142"/>
      <c r="F252" s="143">
        <f t="shared" si="6"/>
        <v>0</v>
      </c>
      <c r="G252" s="143" t="str">
        <f>IFERROR(INDEX($A$2:$A$226,MATCH(ROWS($F$2:F252),$F$2:$F$226,0)),"")</f>
        <v/>
      </c>
      <c r="H252" s="144">
        <f>IF(ISERROR(SEARCH('CASH REPORT'!$C$1,$G252)),0,1)</f>
        <v>0</v>
      </c>
      <c r="I252" s="144" t="str">
        <f>IF($H252=0,"",COUNTIF($H$2:H252,1))</f>
        <v/>
      </c>
      <c r="J252" s="144" t="str">
        <f t="shared" si="7"/>
        <v/>
      </c>
    </row>
    <row r="253" spans="1:10" x14ac:dyDescent="0.25">
      <c r="A253" s="142"/>
      <c r="B253" s="142"/>
      <c r="C253" s="142"/>
      <c r="D253" s="142"/>
      <c r="E253" s="142"/>
      <c r="F253" s="143">
        <f t="shared" si="6"/>
        <v>0</v>
      </c>
      <c r="G253" s="143" t="str">
        <f>IFERROR(INDEX($A$2:$A$226,MATCH(ROWS($F$2:F253),$F$2:$F$226,0)),"")</f>
        <v/>
      </c>
      <c r="H253" s="144">
        <f>IF(ISERROR(SEARCH('CASH REPORT'!$C$1,$G253)),0,1)</f>
        <v>0</v>
      </c>
      <c r="I253" s="144" t="str">
        <f>IF($H253=0,"",COUNTIF($H$2:H253,1))</f>
        <v/>
      </c>
      <c r="J253" s="144" t="str">
        <f t="shared" si="7"/>
        <v/>
      </c>
    </row>
    <row r="254" spans="1:10" x14ac:dyDescent="0.25">
      <c r="A254" s="142"/>
      <c r="B254" s="142"/>
      <c r="C254" s="142"/>
      <c r="D254" s="142"/>
      <c r="E254" s="142"/>
      <c r="F254" s="143">
        <f t="shared" si="6"/>
        <v>0</v>
      </c>
      <c r="G254" s="143" t="str">
        <f>IFERROR(INDEX($A$2:$A$226,MATCH(ROWS($F$2:F254),$F$2:$F$226,0)),"")</f>
        <v/>
      </c>
      <c r="H254" s="144">
        <f>IF(ISERROR(SEARCH('CASH REPORT'!$C$1,$G254)),0,1)</f>
        <v>0</v>
      </c>
      <c r="I254" s="144" t="str">
        <f>IF($H254=0,"",COUNTIF($H$2:H254,1))</f>
        <v/>
      </c>
      <c r="J254" s="144" t="str">
        <f t="shared" si="7"/>
        <v/>
      </c>
    </row>
    <row r="255" spans="1:10" x14ac:dyDescent="0.25">
      <c r="A255" s="142"/>
      <c r="B255" s="142"/>
      <c r="C255" s="142"/>
      <c r="D255" s="142"/>
      <c r="E255" s="142"/>
      <c r="F255" s="143">
        <f t="shared" si="6"/>
        <v>0</v>
      </c>
      <c r="G255" s="143" t="str">
        <f>IFERROR(INDEX($A$2:$A$226,MATCH(ROWS($F$2:F255),$F$2:$F$226,0)),"")</f>
        <v/>
      </c>
      <c r="H255" s="144">
        <f>IF(ISERROR(SEARCH('CASH REPORT'!$C$1,$G255)),0,1)</f>
        <v>0</v>
      </c>
      <c r="I255" s="144" t="str">
        <f>IF($H255=0,"",COUNTIF($H$2:H255,1))</f>
        <v/>
      </c>
      <c r="J255" s="144" t="str">
        <f t="shared" si="7"/>
        <v/>
      </c>
    </row>
    <row r="256" spans="1:10" x14ac:dyDescent="0.25">
      <c r="A256" s="142"/>
      <c r="B256" s="142"/>
      <c r="C256" s="142"/>
      <c r="D256" s="142"/>
      <c r="E256" s="142"/>
      <c r="F256" s="143">
        <f t="shared" si="6"/>
        <v>0</v>
      </c>
      <c r="G256" s="143" t="str">
        <f>IFERROR(INDEX($A$2:$A$226,MATCH(ROWS($F$2:F256),$F$2:$F$226,0)),"")</f>
        <v/>
      </c>
      <c r="H256" s="144">
        <f>IF(ISERROR(SEARCH('CASH REPORT'!$C$1,$G256)),0,1)</f>
        <v>0</v>
      </c>
      <c r="I256" s="144" t="str">
        <f>IF($H256=0,"",COUNTIF($H$2:H256,1))</f>
        <v/>
      </c>
      <c r="J256" s="144" t="str">
        <f t="shared" si="7"/>
        <v/>
      </c>
    </row>
    <row r="257" spans="1:10" x14ac:dyDescent="0.25">
      <c r="A257" s="142"/>
      <c r="B257" s="142"/>
      <c r="C257" s="142"/>
      <c r="D257" s="142"/>
      <c r="E257" s="142"/>
      <c r="F257" s="143">
        <f t="shared" si="6"/>
        <v>0</v>
      </c>
      <c r="G257" s="143" t="str">
        <f>IFERROR(INDEX($A$2:$A$226,MATCH(ROWS($F$2:F257),$F$2:$F$226,0)),"")</f>
        <v/>
      </c>
      <c r="H257" s="144">
        <f>IF(ISERROR(SEARCH('CASH REPORT'!$C$1,$G257)),0,1)</f>
        <v>0</v>
      </c>
      <c r="I257" s="144" t="str">
        <f>IF($H257=0,"",COUNTIF($H$2:H257,1))</f>
        <v/>
      </c>
      <c r="J257" s="144" t="str">
        <f t="shared" si="7"/>
        <v/>
      </c>
    </row>
  </sheetData>
  <sheetProtection algorithmName="SHA-512" hashValue="MbBv3j+XotJKIbGRymYPe9aVVePv6e48JT8fyGpaoRZZH1NLgsbPTWTddo9lOaw/24j9nYzANFnXDQqWxvx92A==" saltValue="D3QWrxqYMj7u1JZruVNOtw==" spinCount="100000" sheet="1" objects="1" scenarios="1"/>
  <autoFilter ref="A1:J257" xr:uid="{00000000-0001-0000-0100-000000000000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425B-7076-42DE-A503-4775944D42A5}">
  <dimension ref="A2:B13"/>
  <sheetViews>
    <sheetView workbookViewId="0">
      <selection activeCell="A2" sqref="A2"/>
    </sheetView>
  </sheetViews>
  <sheetFormatPr defaultRowHeight="15" x14ac:dyDescent="0.25"/>
  <cols>
    <col min="2" max="2" width="17" customWidth="1"/>
  </cols>
  <sheetData>
    <row r="2" spans="1:2" x14ac:dyDescent="0.25">
      <c r="A2" t="s">
        <v>213</v>
      </c>
      <c r="B2" s="73" t="str">
        <f>_xlfn.CONCAT("7/31/",YEAR('CASH REPORT'!C3))</f>
        <v>7/31/2022</v>
      </c>
    </row>
    <row r="3" spans="1:2" x14ac:dyDescent="0.25">
      <c r="A3" t="s">
        <v>215</v>
      </c>
      <c r="B3" s="73" t="str">
        <f>_xlfn.CONCAT("8/31/",YEAR('CASH REPORT'!C3))</f>
        <v>8/31/2022</v>
      </c>
    </row>
    <row r="4" spans="1:2" x14ac:dyDescent="0.25">
      <c r="A4" t="s">
        <v>216</v>
      </c>
      <c r="B4" s="73" t="str">
        <f>_xlfn.CONCAT("9/30/",YEAR('CASH REPORT'!C3))</f>
        <v>9/30/2022</v>
      </c>
    </row>
    <row r="5" spans="1:2" x14ac:dyDescent="0.25">
      <c r="A5" t="s">
        <v>217</v>
      </c>
      <c r="B5" s="73" t="str">
        <f>_xlfn.CONCAT("10/31/",YEAR('CASH REPORT'!C3))</f>
        <v>10/31/2022</v>
      </c>
    </row>
    <row r="6" spans="1:2" x14ac:dyDescent="0.25">
      <c r="A6" t="s">
        <v>218</v>
      </c>
      <c r="B6" s="73" t="str">
        <f>_xlfn.CONCAT("11/30/",YEAR('CASH REPORT'!C3))</f>
        <v>11/30/2022</v>
      </c>
    </row>
    <row r="7" spans="1:2" x14ac:dyDescent="0.25">
      <c r="A7" t="s">
        <v>219</v>
      </c>
      <c r="B7" s="73" t="str">
        <f>_xlfn.CONCAT("12/31/",YEAR('CASH REPORT'!C3))</f>
        <v>12/31/2022</v>
      </c>
    </row>
    <row r="8" spans="1:2" x14ac:dyDescent="0.25">
      <c r="A8" t="s">
        <v>220</v>
      </c>
      <c r="B8" s="73" t="str">
        <f>_xlfn.CONCAT("1/31/",YEAR('CASH REPORT'!C3)+1)</f>
        <v>1/31/2023</v>
      </c>
    </row>
    <row r="9" spans="1:2" x14ac:dyDescent="0.25">
      <c r="A9" t="s">
        <v>221</v>
      </c>
      <c r="B9" s="73">
        <f>EOMONTH(_xlfn.CONCAT("2/01/",YEAR('CASH REPORT'!C3)+1),0)</f>
        <v>44985</v>
      </c>
    </row>
    <row r="10" spans="1:2" x14ac:dyDescent="0.25">
      <c r="A10" t="s">
        <v>222</v>
      </c>
      <c r="B10" s="73" t="str">
        <f>_xlfn.CONCAT("3/31/",YEAR('CASH REPORT'!C3)+1)</f>
        <v>3/31/2023</v>
      </c>
    </row>
    <row r="11" spans="1:2" x14ac:dyDescent="0.25">
      <c r="A11" t="s">
        <v>223</v>
      </c>
      <c r="B11" s="73" t="str">
        <f>_xlfn.CONCAT("4/30/",YEAR('CASH REPORT'!C3)+1)</f>
        <v>4/30/2023</v>
      </c>
    </row>
    <row r="12" spans="1:2" x14ac:dyDescent="0.25">
      <c r="A12" t="s">
        <v>224</v>
      </c>
      <c r="B12" s="73" t="str">
        <f>_xlfn.CONCAT("5/31/",YEAR('CASH REPORT'!C3)+1)</f>
        <v>5/31/2023</v>
      </c>
    </row>
    <row r="13" spans="1:2" x14ac:dyDescent="0.25">
      <c r="A13" t="s">
        <v>225</v>
      </c>
      <c r="B13" s="73" t="str">
        <f>_xlfn.CONCAT("6/30/",YEAR('CASH REPORT'!C3)+1)</f>
        <v>6/30/2023</v>
      </c>
    </row>
  </sheetData>
  <sheetProtection algorithmName="SHA-512" hashValue="i5jOR9zVMTqr8fGhsVe9A4H7eyaek8glMKY6FZ4Ht0pWjvaRUhUkeTNM1zGes/00VoyJTt5yNxAYaIYJIMBWNw==" saltValue="U3ijYE/NFflJPw+l7SAZO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E9DD879ABB54AB72E67B9CABE27BB" ma:contentTypeVersion="0" ma:contentTypeDescription="Create a new document." ma:contentTypeScope="" ma:versionID="d7d27283b9b70ee9800c7118abdd00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9F3BFE-F8B6-45E6-85D2-044B4ACF5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9D19DD-5FDF-4C1E-B5F6-BC3ACC8E4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1EB0B-E484-4F18-8519-E1A76F033265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REPORT</vt:lpstr>
      <vt:lpstr>Instructions</vt:lpstr>
      <vt:lpstr>PED_ONLY</vt:lpstr>
      <vt:lpstr>PED_ONLY2</vt:lpstr>
      <vt:lpstr>Instructions!Print_Area</vt:lpstr>
      <vt:lpstr>'CASH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Cordova</dc:creator>
  <cp:lastModifiedBy>Cordova, Sara, PED</cp:lastModifiedBy>
  <cp:lastPrinted>2022-07-18T19:58:15Z</cp:lastPrinted>
  <dcterms:created xsi:type="dcterms:W3CDTF">2020-07-09T19:06:37Z</dcterms:created>
  <dcterms:modified xsi:type="dcterms:W3CDTF">2022-08-15T22:14:07Z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0x010100DDEE9DD879ABB54AB72E67B9CABE27BB</vt:lpwstr>
  </property>
</Properties>
</file>